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Rates &amp; Sources" sheetId="2" state="visible" r:id="rId4"/>
    <sheet name="Inputs" sheetId="3" state="visible" r:id="rId5"/>
    <sheet name="Cost Per Mile" sheetId="4" state="visible" r:id="rId6"/>
    <sheet name="Estimate" sheetId="5" state="visible" r:id="rId7"/>
    <sheet name="Payment Schedule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<sst xmlns="http://schemas.openxmlformats.org/spreadsheetml/2006/main" count="335" uniqueCount="300">
  <si>
    <t xml:space="preserve">Owner-Operator Quarterly Estimated Tax Workpaper — 2026</t>
  </si>
  <si>
    <t xml:space="preserve">Nimblechapps Finance  ·  built for CPA firms preparing estimates for owner-operator and small-fleet clients</t>
  </si>
  <si>
    <t xml:space="preserve">What this does</t>
  </si>
  <si>
    <t xml:space="preserve">Takes a projected year of settlements, miles and operating costs and produces a defensible 2026 federal quarterly</t>
  </si>
  <si>
    <t xml:space="preserve">estimate — including the DOT per-diem allowance, self-employment tax, the safe-harbour test, and a cost-per-mile</t>
  </si>
  <si>
    <t xml:space="preserve">schedule you can hand back to the client.</t>
  </si>
  <si>
    <t xml:space="preserve">How to use it</t>
  </si>
  <si>
    <t xml:space="preserve">1.  Fill in every yellow cell on the Inputs tab. Blue text = a number you type. Black text = a formula; leave it alone.</t>
  </si>
  <si>
    <t xml:space="preserve">2.  Enter the client's projected annual operating costs on the Cost Per Mile tab (yellow column C).</t>
  </si>
  <si>
    <t xml:space="preserve">3.  Read the answer on the Estimate tab — Step 6 gives the required annual payment and the quarterly instalment.</t>
  </si>
  <si>
    <t xml:space="preserve">4.  Give the client the Payment Schedule tab. It carries the 1040-ES dates plus their IFTA and Form 2290 deadlines.</t>
  </si>
  <si>
    <t xml:space="preserve">Colour key</t>
  </si>
  <si>
    <t xml:space="preserve">Blue text          A hardcoded input. Type over it.</t>
  </si>
  <si>
    <t xml:space="preserve">Yellow fill        A cell you are expected to complete.</t>
  </si>
  <si>
    <t xml:space="preserve">Black text         A formula. Do not overwrite.</t>
  </si>
  <si>
    <t xml:space="preserve">Green text         Pulls a figure from another tab.</t>
  </si>
  <si>
    <t xml:space="preserve">Where the numbers come from</t>
  </si>
  <si>
    <t xml:space="preserve">Every rate, threshold and bracket used in this workbook is listed on the Rates &amp; Sources tab with its citation.</t>
  </si>
  <si>
    <t xml:space="preserve">Nothing is buried inside a formula. When the 2027 figures are published, update that one tab and the workbook follows.</t>
  </si>
  <si>
    <t xml:space="preserve">What this workbook does not do</t>
  </si>
  <si>
    <t xml:space="preserve">It covers federal income tax and self-employment tax only. It does not compute state or local income tax, IFTA fuel</t>
  </si>
  <si>
    <t xml:space="preserve">tax owed, Heavy Highway Use Tax, or the depreciation schedule — enter depreciation as an input on the Cost Per Mile tab.</t>
  </si>
  <si>
    <t xml:space="preserve">It assumes a sole proprietor or single-member LLC filing Schedule C. An S-corp election changes the SE tax calculation</t>
  </si>
  <si>
    <t xml:space="preserve">entirely and this workbook should not be used for one.</t>
  </si>
  <si>
    <t xml:space="preserve">Important</t>
  </si>
  <si>
    <t xml:space="preserve">This is a planning workpaper, not tax advice and not a substitute for professional judgement. Figures are estimates</t>
  </si>
  <si>
    <t xml:space="preserve">based on projections the preparer enters. Review every output before it reaches a client or the IRS.</t>
  </si>
  <si>
    <t xml:space="preserve">Rates &amp; Sources — tax year 2026</t>
  </si>
  <si>
    <t xml:space="preserve">Update this tab when new figures are published; every other tab reads from here.</t>
  </si>
  <si>
    <t xml:space="preserve">Per diem — transportation industry</t>
  </si>
  <si>
    <t xml:space="preserve">Special M&amp;IE rate, CONUS ($ per full day)</t>
  </si>
  <si>
    <t xml:space="preserve">IRS Notice 2025-54, special transportation-industry rate — effective 1 Oct 2025. irs.gov/pub/irs-drop/n-25-54.pdf</t>
  </si>
  <si>
    <t xml:space="preserve">Special M&amp;IE rate, OCONUS ($ per full day)</t>
  </si>
  <si>
    <t xml:space="preserve">IRS Notice 2025-54</t>
  </si>
  <si>
    <t xml:space="preserve">Partial-day proportion (first/last day of travel)</t>
  </si>
  <si>
    <t xml:space="preserve">Rev. Proc. 2019-48 §6.04 — the Federal Travel Regulations method. Any other method consistently applied is also permitted.</t>
  </si>
  <si>
    <t xml:space="preserve">Deductible share of meals, DOT hours-of-service</t>
  </si>
  <si>
    <t xml:space="preserve">IRC §274(n)(3) — 80% substituted for 50%. Schedule C only: a W-2 company driver cannot claim it (IRC §67(g)).</t>
  </si>
  <si>
    <t xml:space="preserve">Self-employment tax</t>
  </si>
  <si>
    <t xml:space="preserve">Social Security wage base</t>
  </si>
  <si>
    <t xml:space="preserve">SSA, Contribution and Benefit Base, 2026. ssa.gov/oact/cola/cbb.html</t>
  </si>
  <si>
    <t xml:space="preserve">Net earnings factor</t>
  </si>
  <si>
    <t xml:space="preserve">IRC §1402(a)(12) — 92.35% of net profit</t>
  </si>
  <si>
    <t xml:space="preserve">Social Security rate (self-employed)</t>
  </si>
  <si>
    <t xml:space="preserve">IRC §1401(a) — 12.4%</t>
  </si>
  <si>
    <t xml:space="preserve">Medicare rate (self-employed)</t>
  </si>
  <si>
    <t xml:space="preserve">IRC §1401(b) — 2.9%, no ceiling</t>
  </si>
  <si>
    <t xml:space="preserve">Additional Medicare rate</t>
  </si>
  <si>
    <t xml:space="preserve">IRC §1401(b)(2) — 0.9% above the threshold; not indexed for inflation</t>
  </si>
  <si>
    <t xml:space="preserve">Estimated tax — safe harbour</t>
  </si>
  <si>
    <t xml:space="preserve">Current-year test</t>
  </si>
  <si>
    <t xml:space="preserve">IRC §6654(d)(1)(B)(i) — 90% of the tax shown on the current-year return</t>
  </si>
  <si>
    <t xml:space="preserve">Prior-year test, AGI at or below $150,000</t>
  </si>
  <si>
    <t xml:space="preserve">IRC §6654(d)(1)(B)(ii). Available only if the preceding year was a full 12 months and a return was filed.</t>
  </si>
  <si>
    <t xml:space="preserve">Prior-year test, AGI above $150,000</t>
  </si>
  <si>
    <t xml:space="preserve">IRC §6654(d)(1)(C)(i)</t>
  </si>
  <si>
    <t xml:space="preserve">Prior-year AGI trigger for the 110% test</t>
  </si>
  <si>
    <t xml:space="preserve">IRC §6654(d)(1)(C)(i); $75,000 if married filing separately</t>
  </si>
  <si>
    <t xml:space="preserve">De minimis — no penalty if tax less withholding is under</t>
  </si>
  <si>
    <t xml:space="preserve">IRC §6654(e)(1) — measured before estimated payments, not after</t>
  </si>
  <si>
    <t xml:space="preserve">Standard deduction and thresholds by filing status</t>
  </si>
  <si>
    <t xml:space="preserve">Single</t>
  </si>
  <si>
    <t xml:space="preserve">Married filing jointly</t>
  </si>
  <si>
    <t xml:space="preserve">Married filing separately</t>
  </si>
  <si>
    <t xml:space="preserve">Head of household</t>
  </si>
  <si>
    <t xml:space="preserve">Standard deduction</t>
  </si>
  <si>
    <t xml:space="preserve">Rev. Proc. 2025-32 §2.15 / IRS IR-2025-103</t>
  </si>
  <si>
    <t xml:space="preserve">Additional Medicare tax threshold</t>
  </si>
  <si>
    <t xml:space="preserve">IRC §1401(b)(2)(A) — statutory, not indexed</t>
  </si>
  <si>
    <t xml:space="preserve">Section 199A (QBI) threshold amount</t>
  </si>
  <si>
    <t xml:space="preserve">Rev. Proc. 2025-32 §4.26 — above this, W-2 wage / SSTB limitations phase in. The $25 gap between MFS and single is in the Rev. Proc. as printed.</t>
  </si>
  <si>
    <t xml:space="preserve">2026 federal income tax brackets — bracket floors by filing status</t>
  </si>
  <si>
    <t xml:space="preserve">Bracket</t>
  </si>
  <si>
    <t xml:space="preserve">Marginal rate</t>
  </si>
  <si>
    <t xml:space="preserve">Rev. Proc. 2025-32 §2.01, tables 1–4 (as amended by P.L. 119-21). Figures are the FLOOR of each bracket.</t>
  </si>
  <si>
    <t xml:space="preserve">Notes</t>
  </si>
  <si>
    <t xml:space="preserve">The bracket table stores the floor of each band. The Estimate tab applies the marginal-rate difference to income above each floor,</t>
  </si>
  <si>
    <t xml:space="preserve">which produces the same result as the IRS rate schedules without needing the cumulative-tax column.</t>
  </si>
  <si>
    <t xml:space="preserve">Filing-status columns C:F must stay in this order — the Estimate tab looks them up by header text.</t>
  </si>
  <si>
    <t xml:space="preserve">Inputs</t>
  </si>
  <si>
    <t xml:space="preserve">Complete every yellow cell. Blue text is a figure you type; black text is calculated.</t>
  </si>
  <si>
    <t xml:space="preserve">1 · Client and filing position</t>
  </si>
  <si>
    <t xml:space="preserve">Client / entity name</t>
  </si>
  <si>
    <t xml:space="preserve">Example Hauling LLC</t>
  </si>
  <si>
    <t xml:space="preserve">Sole proprietor or single-member LLC filing Schedule C.</t>
  </si>
  <si>
    <t xml:space="preserve">Tax year</t>
  </si>
  <si>
    <t xml:space="preserve">This workbook is built on 2026 rates.</t>
  </si>
  <si>
    <t xml:space="preserve">Filing status</t>
  </si>
  <si>
    <t xml:space="preserve">Pick from the drop-down. Drives the brackets, standard deduction and thresholds.</t>
  </si>
  <si>
    <t xml:space="preserve">Spouse / other W-2 wages already subject to Social Security</t>
  </si>
  <si>
    <t xml:space="preserve">Reduces the Social Security wage base still available to the owner-operator.</t>
  </si>
  <si>
    <t xml:space="preserve">Federal income tax already withheld (W-2, pensions, 1099 withholding)</t>
  </si>
  <si>
    <t xml:space="preserve">Credited against the required annual payment before the quarterly split.</t>
  </si>
  <si>
    <t xml:space="preserve">2 · Prior year — from the filed 2025 Form 1040</t>
  </si>
  <si>
    <t xml:space="preserve">Prior-year total tax  (2025 Form 1040, line 24)</t>
  </si>
  <si>
    <t xml:space="preserve">Leave at 0 for a first-year client, or where the prior year was not a full 12 months; the workbook then uses the 90% current-year test only.</t>
  </si>
  <si>
    <t xml:space="preserve">Prior-year adjusted gross income  (2025 Form 1040, line 11)</t>
  </si>
  <si>
    <t xml:space="preserve">Above $150,000 the prior-year safe harbour rises to 110%.</t>
  </si>
  <si>
    <t xml:space="preserve">Safe-harbour percentage required  (calculated)</t>
  </si>
  <si>
    <t xml:space="preserve">IRC §6654(d)(1)(C)(i). Uses $75,000 rather than $150,000 if married filing separately — override manually.</t>
  </si>
  <si>
    <t xml:space="preserve">3 · Projected 2026 operations</t>
  </si>
  <si>
    <t xml:space="preserve">Gross settlement / freight revenue (including fuel surcharge)</t>
  </si>
  <si>
    <t xml:space="preserve">Full projected year. Gross, before broker or factoring deductions.</t>
  </si>
  <si>
    <t xml:space="preserve">Total business miles — projected full year</t>
  </si>
  <si>
    <t xml:space="preserve">Drives every cost-per-mile figure.</t>
  </si>
  <si>
    <t xml:space="preserve">Loaded miles</t>
  </si>
  <si>
    <t xml:space="preserve">For the utilisation check below.</t>
  </si>
  <si>
    <t xml:space="preserve">Deadhead / empty miles</t>
  </si>
  <si>
    <t xml:space="preserve">Check — loaded + deadhead vs total miles</t>
  </si>
  <si>
    <t xml:space="preserve">Deadhead percentage</t>
  </si>
  <si>
    <t xml:space="preserve">4 · Days away from home (DOT hours-of-service)</t>
  </si>
  <si>
    <t xml:space="preserve">Full days away from home, subject to DOT HOS limits</t>
  </si>
  <si>
    <t xml:space="preserve">Days the driver was away overnight and subject to hours-of-service rules. Take from the ELD or logbook, not an estimate.</t>
  </si>
  <si>
    <t xml:space="preserve">Partial days — departure and return days</t>
  </si>
  <si>
    <t xml:space="preserve">Claimed at 75% of the full-day rate.</t>
  </si>
  <si>
    <t xml:space="preserve">5 · Other household income</t>
  </si>
  <si>
    <t xml:space="preserve">Other taxable household income (interest, spouse's business, rentals)</t>
  </si>
  <si>
    <t xml:space="preserve">Added to AGI. Do not include the W-2 wages entered at row 8 — they are picked up separately.</t>
  </si>
  <si>
    <t xml:space="preserve">Example figures are shown above so the format is clear. Replace all of them before use.</t>
  </si>
  <si>
    <t xml:space="preserve">Projected 2026 operating costs and cost per mile</t>
  </si>
  <si>
    <t xml:space="preserve">Enter the projected full-year amount in column C. Meals/per diem are handled separately on the Estimate tab.</t>
  </si>
  <si>
    <t xml:space="preserve">Expense category</t>
  </si>
  <si>
    <t xml:space="preserve">Type</t>
  </si>
  <si>
    <t xml:space="preserve">Annual amount</t>
  </si>
  <si>
    <t xml:space="preserve">Cost per mile</t>
  </si>
  <si>
    <t xml:space="preserve">Fuel, net of fuel surcharge</t>
  </si>
  <si>
    <t xml:space="preserve">Variable</t>
  </si>
  <si>
    <t xml:space="preserve">Tolls, scales and parking</t>
  </si>
  <si>
    <t xml:space="preserve">Tyres</t>
  </si>
  <si>
    <t xml:space="preserve">Routine maintenance and repairs</t>
  </si>
  <si>
    <t xml:space="preserve">Include the tractor and trailer.</t>
  </si>
  <si>
    <t xml:space="preserve">Oil, DEF and fluids</t>
  </si>
  <si>
    <t xml:space="preserve">IFTA fuel tax paid</t>
  </si>
  <si>
    <t xml:space="preserve">The tax itself. IFTA returns are filed separately — see the Payment Schedule tab.</t>
  </si>
  <si>
    <t xml:space="preserve">Broker / dispatch fees</t>
  </si>
  <si>
    <t xml:space="preserve">Factoring fees</t>
  </si>
  <si>
    <t xml:space="preserve">Truck payment or lease</t>
  </si>
  <si>
    <t xml:space="preserve">Fixed</t>
  </si>
  <si>
    <t xml:space="preserve">Interest only if the truck is capitalised and depreciated below.</t>
  </si>
  <si>
    <t xml:space="preserve">Trailer payment or lease</t>
  </si>
  <si>
    <t xml:space="preserve">Liability and cargo insurance</t>
  </si>
  <si>
    <t xml:space="preserve">Physical damage insurance</t>
  </si>
  <si>
    <t xml:space="preserve">Occupational accident / health cover</t>
  </si>
  <si>
    <t xml:space="preserve">Self-employed health premiums may belong on Schedule 1 instead — check placement.</t>
  </si>
  <si>
    <t xml:space="preserve">Base plates, IRP and registration</t>
  </si>
  <si>
    <t xml:space="preserve">Heavy Highway Use Tax (Form 2290)</t>
  </si>
  <si>
    <t xml:space="preserve">$550 is the maximum annual rate, for a vehicle over 75,000 lbs. At exactly 75,000 lbs the rate is $537.</t>
  </si>
  <si>
    <t xml:space="preserve">Permits and licences</t>
  </si>
  <si>
    <t xml:space="preserve">ELD, TMS and software subscriptions</t>
  </si>
  <si>
    <t xml:space="preserve">Mobile phone and connectivity</t>
  </si>
  <si>
    <t xml:space="preserve">Business-use share only.</t>
  </si>
  <si>
    <t xml:space="preserve">Accounting, tax and legal</t>
  </si>
  <si>
    <t xml:space="preserve">Bank, card and settlement fees</t>
  </si>
  <si>
    <t xml:space="preserve">Other operating costs</t>
  </si>
  <si>
    <t xml:space="preserve">Subtotal — cash operating costs</t>
  </si>
  <si>
    <t xml:space="preserve">Depreciation and Section 179 / bonus (from the depreciation schedule)</t>
  </si>
  <si>
    <t xml:space="preserve">Not calculated here. Bring the figure across from the client's depreciation schedule.</t>
  </si>
  <si>
    <t xml:space="preserve">TOTAL OPERATING EXPENSES</t>
  </si>
  <si>
    <t xml:space="preserve">Cost-per-mile summary</t>
  </si>
  <si>
    <t xml:space="preserve">Fixed cost per mile</t>
  </si>
  <si>
    <t xml:space="preserve">Variable cost per mile</t>
  </si>
  <si>
    <t xml:space="preserve">Total cost per mile</t>
  </si>
  <si>
    <t xml:space="preserve">Revenue per mile</t>
  </si>
  <si>
    <t xml:space="preserve">Margin per mile, before per diem and tax</t>
  </si>
  <si>
    <t xml:space="preserve">Revenue per loaded mile</t>
  </si>
  <si>
    <t xml:space="preserve">2026 federal quarterly estimate — calculation</t>
  </si>
  <si>
    <t xml:space="preserve">Every figure below is calculated. Change the Inputs and Cost Per Mile tabs, not this one.</t>
  </si>
  <si>
    <t xml:space="preserve">Step 1 · Per diem — DOT hours-of-service meal allowance</t>
  </si>
  <si>
    <t xml:space="preserve">Full days away from home</t>
  </si>
  <si>
    <t xml:space="preserve">Partial days away from home</t>
  </si>
  <si>
    <t xml:space="preserve">Special M&amp;IE rate — CONUS, per full day</t>
  </si>
  <si>
    <t xml:space="preserve">Partial-day rate</t>
  </si>
  <si>
    <t xml:space="preserve">Federal Travel Regulations method, 75% of the full-day rate — Rev. Proc. 2019-48 §6.04</t>
  </si>
  <si>
    <t xml:space="preserve">Gross meal allowance</t>
  </si>
  <si>
    <t xml:space="preserve">Deductible share (DOT hours-of-service)</t>
  </si>
  <si>
    <t xml:space="preserve">IRC §274(n)(3) — 80%, not the general 50%. Schedule C only; a W-2 driver cannot claim it.</t>
  </si>
  <si>
    <t xml:space="preserve">Deductible per diem</t>
  </si>
  <si>
    <t xml:space="preserve">Step 2 · Net business profit (Schedule C)</t>
  </si>
  <si>
    <t xml:space="preserve">Gross revenue</t>
  </si>
  <si>
    <t xml:space="preserve">Total operating expenses</t>
  </si>
  <si>
    <t xml:space="preserve">Net profit / (loss)</t>
  </si>
  <si>
    <t xml:space="preserve">Step 3 · Self-employment tax (Schedule SE)</t>
  </si>
  <si>
    <t xml:space="preserve">Net earnings from self-employment</t>
  </si>
  <si>
    <t xml:space="preserve">92.35% of net profit — IRC §1402(a)(12)</t>
  </si>
  <si>
    <t xml:space="preserve">Social Security wage base, 2026</t>
  </si>
  <si>
    <t xml:space="preserve">Less: W-2 wages already subject to Social Security</t>
  </si>
  <si>
    <t xml:space="preserve">Wage base still available</t>
  </si>
  <si>
    <t xml:space="preserve">Social Security component</t>
  </si>
  <si>
    <t xml:space="preserve">12.4%</t>
  </si>
  <si>
    <t xml:space="preserve">Medicare component</t>
  </si>
  <si>
    <t xml:space="preserve">2.9%, no ceiling</t>
  </si>
  <si>
    <t xml:space="preserve">Additional Medicare threshold</t>
  </si>
  <si>
    <t xml:space="preserve">IRC §1401(b)(2) — statutory, not indexed</t>
  </si>
  <si>
    <t xml:space="preserve">Additional Medicare tax</t>
  </si>
  <si>
    <t xml:space="preserve">0.9% on the excess</t>
  </si>
  <si>
    <t xml:space="preserve">Total self-employment tax</t>
  </si>
  <si>
    <t xml:space="preserve">Deductible half of SE tax</t>
  </si>
  <si>
    <t xml:space="preserve">The additional Medicare tax is not deductible — IRC §164(f)</t>
  </si>
  <si>
    <t xml:space="preserve">Step 4 · Taxable income</t>
  </si>
  <si>
    <t xml:space="preserve">Net business profit</t>
  </si>
  <si>
    <t xml:space="preserve">Less: deductible half of SE tax</t>
  </si>
  <si>
    <t xml:space="preserve">Plus: W-2 wages</t>
  </si>
  <si>
    <t xml:space="preserve">Plus: other household taxable income</t>
  </si>
  <si>
    <t xml:space="preserve">Adjusted gross income</t>
  </si>
  <si>
    <t xml:space="preserve">Less: standard deduction</t>
  </si>
  <si>
    <t xml:space="preserve">Rev. Proc. 2025-32. Substitute itemised deductions if they are higher.</t>
  </si>
  <si>
    <t xml:space="preserve">Taxable income before the QBI deduction</t>
  </si>
  <si>
    <t xml:space="preserve">Section 199A threshold for this filing status</t>
  </si>
  <si>
    <t xml:space="preserve">Above this, the W-2 wage and property limitations phase in — this workbook does not model them.</t>
  </si>
  <si>
    <t xml:space="preserve">Less: QBI deduction</t>
  </si>
  <si>
    <t xml:space="preserve">20% of QBI, capped at 20% of taxable income. Verify manually if AGI exceeds the threshold above.</t>
  </si>
  <si>
    <t xml:space="preserve">QBI threshold check</t>
  </si>
  <si>
    <t xml:space="preserve">Taxable income</t>
  </si>
  <si>
    <t xml:space="preserve">Step 5 · Federal income tax — 2026 brackets</t>
  </si>
  <si>
    <t xml:space="preserve">Bracket floor</t>
  </si>
  <si>
    <t xml:space="preserve">Rate step</t>
  </si>
  <si>
    <t xml:space="preserve">Tax from this band</t>
  </si>
  <si>
    <t xml:space="preserve">Marginal-rate method: apply each rate step to all income above that bracket floor. Equivalent to the IRS rate schedules.</t>
  </si>
  <si>
    <t xml:space="preserve">Federal income tax</t>
  </si>
  <si>
    <t xml:space="preserve">Step 6 · Total 2026 tax and the required payments</t>
  </si>
  <si>
    <t xml:space="preserve">Projected total 2026 tax</t>
  </si>
  <si>
    <t xml:space="preserve">Current-year test — 90% of projected total tax</t>
  </si>
  <si>
    <t xml:space="preserve">IRC §6654(d)(1)(B)(i)</t>
  </si>
  <si>
    <t xml:space="preserve">Prior-year total tax</t>
  </si>
  <si>
    <t xml:space="preserve">Prior-year safe-harbour percentage</t>
  </si>
  <si>
    <t xml:space="preserve">110% where prior-year AGI exceeded $150,000</t>
  </si>
  <si>
    <t xml:space="preserve">Prior-year test</t>
  </si>
  <si>
    <t xml:space="preserve">Required annual payment — the lesser test</t>
  </si>
  <si>
    <t xml:space="preserve">With no prior-year return on file, only the 90% current-year test is available.</t>
  </si>
  <si>
    <t xml:space="preserve">Less: federal income tax withheld</t>
  </si>
  <si>
    <t xml:space="preserve">To be paid through quarterly estimates</t>
  </si>
  <si>
    <t xml:space="preserve">Quarterly instalment</t>
  </si>
  <si>
    <t xml:space="preserve">Equal instalments. Where income is seasonal, the annualised income method on Form 2210 Schedule AI may give a better answer.</t>
  </si>
  <si>
    <t xml:space="preserve">What to tell the client</t>
  </si>
  <si>
    <t xml:space="preserve">Set aside this share of every gross settlement</t>
  </si>
  <si>
    <t xml:space="preserve">The number to give a driver who wants one percentage to apply to every settlement cheque.</t>
  </si>
  <si>
    <t xml:space="preserve">Set aside this share of net profit</t>
  </si>
  <si>
    <t xml:space="preserve">Compare with the rule-of-thumb band below.</t>
  </si>
  <si>
    <t xml:space="preserve">Set aside per business mile</t>
  </si>
  <si>
    <t xml:space="preserve">Effective total tax rate on net profit</t>
  </si>
  <si>
    <t xml:space="preserve">De minimis check</t>
  </si>
  <si>
    <t xml:space="preserve">Rule-of-thumb check</t>
  </si>
  <si>
    <t xml:space="preserve">The standard advice is to set aside 25–30% of net income for quarterly tax. This is what that band would produce for this</t>
  </si>
  <si>
    <t xml:space="preserve">client, against what the calculation above actually requires. A wide gap is the conversation worth having with the driver.</t>
  </si>
  <si>
    <t xml:space="preserve">Rule of thumb — 25% of net profit</t>
  </si>
  <si>
    <t xml:space="preserve">Rule of thumb — 30% of net profit</t>
  </si>
  <si>
    <t xml:space="preserve">Calculated requirement</t>
  </si>
  <si>
    <t xml:space="preserve">Verdict</t>
  </si>
  <si>
    <t xml:space="preserve">2026 payment and filing calendar</t>
  </si>
  <si>
    <t xml:space="preserve">Give this tab to the client.</t>
  </si>
  <si>
    <t xml:space="preserve">Federal estimated tax — Form 1040-ES</t>
  </si>
  <si>
    <t xml:space="preserve">Instalment</t>
  </si>
  <si>
    <t xml:space="preserve">Income period covered</t>
  </si>
  <si>
    <t xml:space="preserve">Payment due</t>
  </si>
  <si>
    <t xml:space="preserve">Amount</t>
  </si>
  <si>
    <t xml:space="preserve">Paid</t>
  </si>
  <si>
    <t xml:space="preserve">Q1</t>
  </si>
  <si>
    <t xml:space="preserve">1 January – 31 March 2026</t>
  </si>
  <si>
    <t xml:space="preserve">Wednesday 15 April 2026</t>
  </si>
  <si>
    <t xml:space="preserve">Also the filing deadline for the 2025 return.</t>
  </si>
  <si>
    <t xml:space="preserve">Q2</t>
  </si>
  <si>
    <t xml:space="preserve">1 April – 31 May 2026</t>
  </si>
  <si>
    <t xml:space="preserve">Monday 15 June 2026</t>
  </si>
  <si>
    <t xml:space="preserve">A two-month period, not three. This is the instalment most often missed.</t>
  </si>
  <si>
    <t xml:space="preserve">Q3</t>
  </si>
  <si>
    <t xml:space="preserve">1 June – 31 August 2026</t>
  </si>
  <si>
    <t xml:space="preserve">Tuesday 15 September 2026</t>
  </si>
  <si>
    <t xml:space="preserve">Q4</t>
  </si>
  <si>
    <t xml:space="preserve">1 September – 31 December 2026</t>
  </si>
  <si>
    <t xml:space="preserve">Friday 15 January 2027</t>
  </si>
  <si>
    <t xml:space="preserve">This instalment alone is not required if the 2026 return is filed and paid in full by 1 February 2027 — IRC §6654(h); 31 January falls on a Sunday. It does not relieve a penalty on Q1–Q3.</t>
  </si>
  <si>
    <t xml:space="preserve">Total for 2026</t>
  </si>
  <si>
    <t xml:space="preserve">Pay online at irs.gov/payments — IRS Direct Pay or EFTPS. Keep the confirmation number with the books; it is the only proof of the payment date.</t>
  </si>
  <si>
    <t xml:space="preserve">Other filings an owner-operator must not miss</t>
  </si>
  <si>
    <t xml:space="preserve">Filing</t>
  </si>
  <si>
    <t xml:space="preserve">Due</t>
  </si>
  <si>
    <t xml:space="preserve">Done</t>
  </si>
  <si>
    <t xml:space="preserve">IFTA return — Q1 2026</t>
  </si>
  <si>
    <t xml:space="preserve">Thursday 30 April 2026</t>
  </si>
  <si>
    <t xml:space="preserve">Filed with the base jurisdiction.</t>
  </si>
  <si>
    <t xml:space="preserve">IFTA return — Q2 2026</t>
  </si>
  <si>
    <t xml:space="preserve">Friday 31 July 2026</t>
  </si>
  <si>
    <t xml:space="preserve">IFTA return — Q3 2026</t>
  </si>
  <si>
    <t xml:space="preserve">Monday 2 November 2026</t>
  </si>
  <si>
    <t xml:space="preserve">31 October 2026 falls on a Saturday, so the deadline moves to the next business day.</t>
  </si>
  <si>
    <t xml:space="preserve">IFTA return — Q4 2026</t>
  </si>
  <si>
    <t xml:space="preserve">Monday 1 February 2027</t>
  </si>
  <si>
    <t xml:space="preserve">31 January 2027 falls on a Sunday.</t>
  </si>
  <si>
    <t xml:space="preserve">Form 2290 — Heavy Highway Use Tax</t>
  </si>
  <si>
    <t xml:space="preserve">Monday 31 August 2026</t>
  </si>
  <si>
    <t xml:space="preserve">For vehicles first used in July 2026. Due the last day of the month following first use.</t>
  </si>
  <si>
    <t xml:space="preserve">Form 1099-NEC to subcontractors</t>
  </si>
  <si>
    <t xml:space="preserve">31 January 2027 falls on a Sunday. Collect Form W-9 before the first payment, not in January.</t>
  </si>
  <si>
    <t xml:space="preserve">2026 Form 1040 with Schedule C and Schedule SE</t>
  </si>
  <si>
    <t xml:space="preserve">Thursday 15 April 2027</t>
  </si>
  <si>
    <t xml:space="preserve">IRP / apportioned plate renewal</t>
  </si>
  <si>
    <t xml:space="preserve">Varies by base state</t>
  </si>
  <si>
    <t xml:space="preserve">Check the base jurisdiction's renewal window.</t>
  </si>
  <si>
    <t xml:space="preserve">State estimated income tax deadlines are not listed — they vary and several states do not follow the federal dates.</t>
  </si>
  <si>
    <t xml:space="preserve">Prepared with the Nimblechapps Finance owner-operator quarterly estimate workpaper. Planning tool only — not tax advice.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</si>
</sst>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;&quot;($&quot;#,##0\);\-"/>
    <numFmt numFmtId="166" formatCode="0.0%"/>
    <numFmt numFmtId="167" formatCode="0.00%"/>
    <numFmt numFmtId="168" formatCode="#,##0;\(#,##0\);\-"/>
    <numFmt numFmtId="169" formatCode="0"/>
    <numFmt numFmtId="170" formatCode="\$#,##0.00;&quot;($&quot;#,##0.00\);\-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F2F4C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1"/>
      <color rgb="FF0F2F4C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4"/>
      <color rgb="FF0F2F4C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F2F4C"/>
        <bgColor rgb="FF333333"/>
      </patternFill>
    </fill>
    <fill>
      <patternFill patternType="solid">
        <fgColor rgb="FFEDF2F7"/>
        <bgColor rgb="FFDCE6F1"/>
      </patternFill>
    </fill>
    <fill>
      <patternFill patternType="solid">
        <fgColor rgb="FFDCE6F1"/>
        <bgColor rgb="FFEDF2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medium">
        <color rgb="FF0F2F4C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F2F7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F2F4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4"/>
  </cols>
  <sheetData>
    <row r="2" customFormat="false" ht="24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</row>
    <row r="8" customFormat="false" ht="15" hidden="false" customHeight="false" outlineLevel="0" collapsed="false">
      <c r="B8" s="4" t="s">
        <v>4</v>
      </c>
    </row>
    <row r="9" customFormat="false" ht="15" hidden="false" customHeight="false" outlineLevel="0" collapsed="false">
      <c r="B9" s="4" t="s">
        <v>5</v>
      </c>
    </row>
    <row r="11" customFormat="false" ht="15" hidden="false" customHeight="false" outlineLevel="0" collapsed="false">
      <c r="B11" s="3" t="s">
        <v>6</v>
      </c>
    </row>
    <row r="12" customFormat="false" ht="15" hidden="false" customHeight="false" outlineLevel="0" collapsed="false">
      <c r="B12" s="4" t="s">
        <v>7</v>
      </c>
    </row>
    <row r="13" customFormat="false" ht="15" hidden="false" customHeight="false" outlineLevel="0" collapsed="false">
      <c r="B13" s="5" t="s">
        <v>8</v>
      </c>
    </row>
    <row r="14" customFormat="false" ht="15" hidden="false" customHeight="false" outlineLevel="0" collapsed="false">
      <c r="B14" s="6" t="s">
        <v>9</v>
      </c>
    </row>
    <row r="15" customFormat="false" ht="15" hidden="false" customHeight="false" outlineLevel="0" collapsed="false">
      <c r="B15" s="4" t="s">
        <v>10</v>
      </c>
    </row>
    <row r="16" customFormat="false" ht="15" hidden="false" customHeight="false" outlineLevel="0" collapsed="false">
      <c r="B16" s="7"/>
    </row>
    <row r="17" customFormat="false" ht="15" hidden="false" customHeight="false" outlineLevel="0" collapsed="false">
      <c r="B17" s="3" t="s">
        <v>11</v>
      </c>
    </row>
    <row r="18" customFormat="false" ht="15" hidden="false" customHeight="false" outlineLevel="0" collapsed="false">
      <c r="B18" s="4" t="s">
        <v>12</v>
      </c>
    </row>
    <row r="19" customFormat="false" ht="15" hidden="false" customHeight="false" outlineLevel="0" collapsed="false">
      <c r="B19" s="4" t="s">
        <v>13</v>
      </c>
    </row>
    <row r="20" customFormat="false" ht="15" hidden="false" customHeight="false" outlineLevel="0" collapsed="false">
      <c r="B20" s="4" t="s">
        <v>14</v>
      </c>
    </row>
    <row r="21" customFormat="false" ht="15" hidden="false" customHeight="false" outlineLevel="0" collapsed="false">
      <c r="B21" s="4" t="s">
        <v>15</v>
      </c>
    </row>
    <row r="23" customFormat="false" ht="15" hidden="false" customHeight="false" outlineLevel="0" collapsed="false">
      <c r="B23" s="3" t="s">
        <v>16</v>
      </c>
    </row>
    <row r="24" customFormat="false" ht="15" hidden="false" customHeight="false" outlineLevel="0" collapsed="false">
      <c r="B24" s="4" t="s">
        <v>17</v>
      </c>
    </row>
    <row r="25" customFormat="false" ht="15" hidden="false" customHeight="false" outlineLevel="0" collapsed="false">
      <c r="B25" s="4" t="s">
        <v>18</v>
      </c>
    </row>
    <row r="27" customFormat="false" ht="15" hidden="false" customHeight="false" outlineLevel="0" collapsed="false">
      <c r="B27" s="3" t="s">
        <v>19</v>
      </c>
    </row>
    <row r="28" customFormat="false" ht="15" hidden="false" customHeight="false" outlineLevel="0" collapsed="false">
      <c r="B28" s="4" t="s">
        <v>20</v>
      </c>
    </row>
    <row r="29" customFormat="false" ht="15" hidden="false" customHeight="false" outlineLevel="0" collapsed="false">
      <c r="B29" s="4" t="s">
        <v>21</v>
      </c>
    </row>
    <row r="30" customFormat="false" ht="15" hidden="false" customHeight="false" outlineLevel="0" collapsed="false">
      <c r="B30" s="4" t="s">
        <v>22</v>
      </c>
    </row>
    <row r="31" customFormat="false" ht="15" hidden="false" customHeight="false" outlineLevel="0" collapsed="false">
      <c r="B31" s="4" t="s">
        <v>23</v>
      </c>
    </row>
    <row r="33" customFormat="false" ht="15" hidden="false" customHeight="false" outlineLevel="0" collapsed="false">
      <c r="B33" s="3" t="s">
        <v>24</v>
      </c>
    </row>
    <row r="34" customFormat="false" ht="15" hidden="false" customHeight="false" outlineLevel="0" collapsed="false">
      <c r="B34" s="4" t="s">
        <v>25</v>
      </c>
    </row>
    <row r="35" customFormat="false" ht="15" hidden="false" customHeight="false" outlineLevel="0" collapsed="false">
      <c r="B35" s="4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6" min="2" style="0" width="16"/>
    <col collapsed="false" customWidth="true" hidden="false" outlineLevel="0" max="7" min="7" style="0" width="70"/>
  </cols>
  <sheetData>
    <row r="1" customFormat="false" ht="17.35" hidden="false" customHeight="false" outlineLevel="0" collapsed="false">
      <c r="A1" s="8" t="s">
        <v>27</v>
      </c>
    </row>
    <row r="2" customFormat="false" ht="15" hidden="false" customHeight="false" outlineLevel="0" collapsed="false">
      <c r="A2" s="9" t="s">
        <v>28</v>
      </c>
    </row>
    <row r="4" customFormat="false" ht="15" hidden="false" customHeight="false" outlineLevel="0" collapsed="false">
      <c r="A4" s="3" t="s">
        <v>29</v>
      </c>
    </row>
    <row r="5" customFormat="false" ht="15" hidden="false" customHeight="false" outlineLevel="0" collapsed="false">
      <c r="A5" s="4" t="s">
        <v>30</v>
      </c>
      <c r="B5" s="10" t="n">
        <v>80</v>
      </c>
      <c r="G5" s="11" t="s">
        <v>31</v>
      </c>
    </row>
    <row r="6" customFormat="false" ht="15" hidden="false" customHeight="false" outlineLevel="0" collapsed="false">
      <c r="A6" s="4" t="s">
        <v>32</v>
      </c>
      <c r="B6" s="10" t="n">
        <v>86</v>
      </c>
      <c r="G6" s="11" t="s">
        <v>33</v>
      </c>
    </row>
    <row r="7" customFormat="false" ht="15" hidden="false" customHeight="false" outlineLevel="0" collapsed="false">
      <c r="A7" s="4" t="s">
        <v>34</v>
      </c>
      <c r="B7" s="12" t="n">
        <v>0.75</v>
      </c>
      <c r="G7" s="11" t="s">
        <v>35</v>
      </c>
    </row>
    <row r="8" customFormat="false" ht="15" hidden="false" customHeight="false" outlineLevel="0" collapsed="false">
      <c r="A8" s="4" t="s">
        <v>36</v>
      </c>
      <c r="B8" s="12" t="n">
        <v>0.8</v>
      </c>
      <c r="G8" s="11" t="s">
        <v>37</v>
      </c>
    </row>
    <row r="10" customFormat="false" ht="15" hidden="false" customHeight="false" outlineLevel="0" collapsed="false">
      <c r="A10" s="3" t="s">
        <v>38</v>
      </c>
    </row>
    <row r="11" customFormat="false" ht="15" hidden="false" customHeight="false" outlineLevel="0" collapsed="false">
      <c r="A11" s="4" t="s">
        <v>39</v>
      </c>
      <c r="B11" s="10" t="n">
        <v>184500</v>
      </c>
      <c r="G11" s="11" t="s">
        <v>40</v>
      </c>
    </row>
    <row r="12" customFormat="false" ht="15" hidden="false" customHeight="false" outlineLevel="0" collapsed="false">
      <c r="A12" s="4" t="s">
        <v>41</v>
      </c>
      <c r="B12" s="13" t="n">
        <v>0.9235</v>
      </c>
      <c r="G12" s="11" t="s">
        <v>42</v>
      </c>
    </row>
    <row r="13" customFormat="false" ht="15" hidden="false" customHeight="false" outlineLevel="0" collapsed="false">
      <c r="A13" s="4" t="s">
        <v>43</v>
      </c>
      <c r="B13" s="12" t="n">
        <v>0.124</v>
      </c>
      <c r="G13" s="11" t="s">
        <v>44</v>
      </c>
    </row>
    <row r="14" customFormat="false" ht="15" hidden="false" customHeight="false" outlineLevel="0" collapsed="false">
      <c r="A14" s="4" t="s">
        <v>45</v>
      </c>
      <c r="B14" s="12" t="n">
        <v>0.029</v>
      </c>
      <c r="G14" s="11" t="s">
        <v>46</v>
      </c>
    </row>
    <row r="15" customFormat="false" ht="15" hidden="false" customHeight="false" outlineLevel="0" collapsed="false">
      <c r="A15" s="4" t="s">
        <v>47</v>
      </c>
      <c r="B15" s="12" t="n">
        <v>0.009</v>
      </c>
      <c r="G15" s="11" t="s">
        <v>48</v>
      </c>
    </row>
    <row r="17" customFormat="false" ht="15" hidden="false" customHeight="false" outlineLevel="0" collapsed="false">
      <c r="A17" s="3" t="s">
        <v>49</v>
      </c>
    </row>
    <row r="18" customFormat="false" ht="15" hidden="false" customHeight="false" outlineLevel="0" collapsed="false">
      <c r="A18" s="4" t="s">
        <v>50</v>
      </c>
      <c r="B18" s="12" t="n">
        <v>0.9</v>
      </c>
      <c r="G18" s="11" t="s">
        <v>51</v>
      </c>
    </row>
    <row r="19" customFormat="false" ht="15" hidden="false" customHeight="false" outlineLevel="0" collapsed="false">
      <c r="A19" s="4" t="s">
        <v>52</v>
      </c>
      <c r="B19" s="12" t="n">
        <v>1</v>
      </c>
      <c r="G19" s="11" t="s">
        <v>53</v>
      </c>
    </row>
    <row r="20" customFormat="false" ht="15" hidden="false" customHeight="false" outlineLevel="0" collapsed="false">
      <c r="A20" s="4" t="s">
        <v>54</v>
      </c>
      <c r="B20" s="12" t="n">
        <v>1.1</v>
      </c>
      <c r="G20" s="11" t="s">
        <v>55</v>
      </c>
    </row>
    <row r="21" customFormat="false" ht="15" hidden="false" customHeight="false" outlineLevel="0" collapsed="false">
      <c r="A21" s="4" t="s">
        <v>56</v>
      </c>
      <c r="B21" s="10" t="n">
        <v>150000</v>
      </c>
      <c r="G21" s="11" t="s">
        <v>57</v>
      </c>
    </row>
    <row r="22" customFormat="false" ht="15" hidden="false" customHeight="false" outlineLevel="0" collapsed="false">
      <c r="A22" s="4" t="s">
        <v>58</v>
      </c>
      <c r="B22" s="10" t="n">
        <v>1000</v>
      </c>
      <c r="G22" s="11" t="s">
        <v>59</v>
      </c>
    </row>
    <row r="24" customFormat="false" ht="15" hidden="false" customHeight="false" outlineLevel="0" collapsed="false">
      <c r="A24" s="3" t="s">
        <v>60</v>
      </c>
    </row>
    <row r="25" customFormat="false" ht="30" hidden="false" customHeight="true" outlineLevel="0" collapsed="false">
      <c r="C25" s="14" t="s">
        <v>61</v>
      </c>
      <c r="D25" s="14" t="s">
        <v>62</v>
      </c>
      <c r="E25" s="14" t="s">
        <v>63</v>
      </c>
      <c r="F25" s="14" t="s">
        <v>64</v>
      </c>
    </row>
    <row r="26" customFormat="false" ht="15" hidden="false" customHeight="false" outlineLevel="0" collapsed="false">
      <c r="A26" s="4" t="s">
        <v>65</v>
      </c>
      <c r="C26" s="10" t="n">
        <v>16100</v>
      </c>
      <c r="D26" s="10" t="n">
        <v>32200</v>
      </c>
      <c r="E26" s="10" t="n">
        <v>16100</v>
      </c>
      <c r="F26" s="10" t="n">
        <v>24150</v>
      </c>
      <c r="G26" s="11" t="s">
        <v>66</v>
      </c>
    </row>
    <row r="27" customFormat="false" ht="15" hidden="false" customHeight="false" outlineLevel="0" collapsed="false">
      <c r="A27" s="4" t="s">
        <v>67</v>
      </c>
      <c r="C27" s="10" t="n">
        <v>200000</v>
      </c>
      <c r="D27" s="10" t="n">
        <v>250000</v>
      </c>
      <c r="E27" s="10" t="n">
        <v>125000</v>
      </c>
      <c r="F27" s="10" t="n">
        <v>200000</v>
      </c>
      <c r="G27" s="11" t="s">
        <v>68</v>
      </c>
    </row>
    <row r="28" customFormat="false" ht="15" hidden="false" customHeight="false" outlineLevel="0" collapsed="false">
      <c r="A28" s="4" t="s">
        <v>69</v>
      </c>
      <c r="C28" s="10" t="n">
        <v>201750</v>
      </c>
      <c r="D28" s="10" t="n">
        <v>403500</v>
      </c>
      <c r="E28" s="10" t="n">
        <v>201775</v>
      </c>
      <c r="F28" s="10" t="n">
        <v>201750</v>
      </c>
      <c r="G28" s="11" t="s">
        <v>70</v>
      </c>
    </row>
    <row r="30" customFormat="false" ht="15" hidden="false" customHeight="false" outlineLevel="0" collapsed="false">
      <c r="A30" s="3" t="s">
        <v>71</v>
      </c>
    </row>
    <row r="31" customFormat="false" ht="30" hidden="false" customHeight="true" outlineLevel="0" collapsed="false">
      <c r="A31" s="14" t="s">
        <v>72</v>
      </c>
      <c r="B31" s="14" t="s">
        <v>73</v>
      </c>
      <c r="C31" s="14" t="s">
        <v>61</v>
      </c>
      <c r="D31" s="14" t="s">
        <v>62</v>
      </c>
      <c r="E31" s="14" t="s">
        <v>63</v>
      </c>
      <c r="F31" s="14" t="s">
        <v>64</v>
      </c>
    </row>
    <row r="32" customFormat="false" ht="15" hidden="false" customHeight="false" outlineLevel="0" collapsed="false">
      <c r="A32" s="15" t="n">
        <v>1</v>
      </c>
      <c r="B32" s="16" t="n">
        <v>0.1</v>
      </c>
      <c r="C32" s="17" t="n">
        <v>0</v>
      </c>
      <c r="D32" s="17" t="n">
        <v>0</v>
      </c>
      <c r="E32" s="17" t="n">
        <v>0</v>
      </c>
      <c r="F32" s="17" t="n">
        <v>0</v>
      </c>
      <c r="G32" s="11" t="s">
        <v>74</v>
      </c>
    </row>
    <row r="33" customFormat="false" ht="15" hidden="false" customHeight="false" outlineLevel="0" collapsed="false">
      <c r="A33" s="18" t="n">
        <v>2</v>
      </c>
      <c r="B33" s="12" t="n">
        <v>0.12</v>
      </c>
      <c r="C33" s="10" t="n">
        <v>12400</v>
      </c>
      <c r="D33" s="10" t="n">
        <v>24800</v>
      </c>
      <c r="E33" s="10" t="n">
        <v>12400</v>
      </c>
      <c r="F33" s="10" t="n">
        <v>17700</v>
      </c>
    </row>
    <row r="34" customFormat="false" ht="15" hidden="false" customHeight="false" outlineLevel="0" collapsed="false">
      <c r="A34" s="15" t="n">
        <v>3</v>
      </c>
      <c r="B34" s="16" t="n">
        <v>0.22</v>
      </c>
      <c r="C34" s="17" t="n">
        <v>50400</v>
      </c>
      <c r="D34" s="17" t="n">
        <v>100800</v>
      </c>
      <c r="E34" s="17" t="n">
        <v>50400</v>
      </c>
      <c r="F34" s="17" t="n">
        <v>67450</v>
      </c>
    </row>
    <row r="35" customFormat="false" ht="15" hidden="false" customHeight="false" outlineLevel="0" collapsed="false">
      <c r="A35" s="18" t="n">
        <v>4</v>
      </c>
      <c r="B35" s="12" t="n">
        <v>0.24</v>
      </c>
      <c r="C35" s="10" t="n">
        <v>105700</v>
      </c>
      <c r="D35" s="10" t="n">
        <v>211400</v>
      </c>
      <c r="E35" s="10" t="n">
        <v>105700</v>
      </c>
      <c r="F35" s="10" t="n">
        <v>105700</v>
      </c>
    </row>
    <row r="36" customFormat="false" ht="15" hidden="false" customHeight="false" outlineLevel="0" collapsed="false">
      <c r="A36" s="15" t="n">
        <v>5</v>
      </c>
      <c r="B36" s="16" t="n">
        <v>0.32</v>
      </c>
      <c r="C36" s="17" t="n">
        <v>201775</v>
      </c>
      <c r="D36" s="17" t="n">
        <v>403550</v>
      </c>
      <c r="E36" s="17" t="n">
        <v>201775</v>
      </c>
      <c r="F36" s="17" t="n">
        <v>201750</v>
      </c>
    </row>
    <row r="37" customFormat="false" ht="15" hidden="false" customHeight="false" outlineLevel="0" collapsed="false">
      <c r="A37" s="18" t="n">
        <v>6</v>
      </c>
      <c r="B37" s="12" t="n">
        <v>0.35</v>
      </c>
      <c r="C37" s="10" t="n">
        <v>256225</v>
      </c>
      <c r="D37" s="10" t="n">
        <v>512450</v>
      </c>
      <c r="E37" s="10" t="n">
        <v>256225</v>
      </c>
      <c r="F37" s="10" t="n">
        <v>256200</v>
      </c>
    </row>
    <row r="38" customFormat="false" ht="15" hidden="false" customHeight="false" outlineLevel="0" collapsed="false">
      <c r="A38" s="15" t="n">
        <v>7</v>
      </c>
      <c r="B38" s="16" t="n">
        <v>0.37</v>
      </c>
      <c r="C38" s="17" t="n">
        <v>640600</v>
      </c>
      <c r="D38" s="17" t="n">
        <v>768700</v>
      </c>
      <c r="E38" s="17" t="n">
        <v>384350</v>
      </c>
      <c r="F38" s="17" t="n">
        <v>640600</v>
      </c>
    </row>
    <row r="41" customFormat="false" ht="15" hidden="false" customHeight="false" outlineLevel="0" collapsed="false">
      <c r="A41" s="3" t="s">
        <v>75</v>
      </c>
    </row>
    <row r="42" customFormat="false" ht="15" hidden="false" customHeight="false" outlineLevel="0" collapsed="false">
      <c r="A42" s="9" t="s">
        <v>76</v>
      </c>
    </row>
    <row r="43" customFormat="false" ht="15" hidden="false" customHeight="false" outlineLevel="0" collapsed="false">
      <c r="A43" s="9" t="s">
        <v>77</v>
      </c>
    </row>
    <row r="44" customFormat="false" ht="15" hidden="false" customHeight="false" outlineLevel="0" collapsed="false">
      <c r="A44" s="9" t="s">
        <v>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2"/>
    <col collapsed="false" customWidth="true" hidden="false" outlineLevel="0" max="2" min="2" style="0" width="18"/>
    <col collapsed="false" customWidth="true" hidden="false" outlineLevel="0" max="3" min="3" style="0" width="3"/>
    <col collapsed="false" customWidth="true" hidden="false" outlineLevel="0" max="4" min="4" style="0" width="74"/>
  </cols>
  <sheetData>
    <row r="1" customFormat="false" ht="17.35" hidden="false" customHeight="false" outlineLevel="0" collapsed="false">
      <c r="A1" s="8" t="s">
        <v>79</v>
      </c>
    </row>
    <row r="2" customFormat="false" ht="15" hidden="false" customHeight="false" outlineLevel="0" collapsed="false">
      <c r="A2" s="9" t="s">
        <v>80</v>
      </c>
    </row>
    <row r="4" customFormat="false" ht="15" hidden="false" customHeight="false" outlineLevel="0" collapsed="false">
      <c r="A4" s="3" t="s">
        <v>81</v>
      </c>
    </row>
    <row r="5" customFormat="false" ht="15" hidden="false" customHeight="false" outlineLevel="0" collapsed="false">
      <c r="A5" s="4" t="s">
        <v>82</v>
      </c>
      <c r="B5" s="19" t="s">
        <v>83</v>
      </c>
      <c r="D5" s="11" t="s">
        <v>84</v>
      </c>
    </row>
    <row r="6" customFormat="false" ht="15" hidden="false" customHeight="false" outlineLevel="0" collapsed="false">
      <c r="A6" s="4" t="s">
        <v>85</v>
      </c>
      <c r="B6" s="20" t="n">
        <v>2026</v>
      </c>
      <c r="D6" s="11" t="s">
        <v>86</v>
      </c>
    </row>
    <row r="7" customFormat="false" ht="15" hidden="false" customHeight="false" outlineLevel="0" collapsed="false">
      <c r="A7" s="4" t="s">
        <v>87</v>
      </c>
      <c r="B7" s="19" t="s">
        <v>62</v>
      </c>
      <c r="D7" s="11" t="s">
        <v>88</v>
      </c>
    </row>
    <row r="8" customFormat="false" ht="15" hidden="false" customHeight="false" outlineLevel="0" collapsed="false">
      <c r="A8" s="4" t="s">
        <v>89</v>
      </c>
      <c r="B8" s="21" t="n">
        <v>0</v>
      </c>
      <c r="D8" s="11" t="s">
        <v>90</v>
      </c>
    </row>
    <row r="9" customFormat="false" ht="15" hidden="false" customHeight="false" outlineLevel="0" collapsed="false">
      <c r="A9" s="4" t="s">
        <v>91</v>
      </c>
      <c r="B9" s="21" t="n">
        <v>0</v>
      </c>
      <c r="D9" s="11" t="s">
        <v>92</v>
      </c>
    </row>
    <row r="11" customFormat="false" ht="15" hidden="false" customHeight="false" outlineLevel="0" collapsed="false">
      <c r="A11" s="3" t="s">
        <v>93</v>
      </c>
    </row>
    <row r="12" customFormat="false" ht="15" hidden="false" customHeight="false" outlineLevel="0" collapsed="false">
      <c r="A12" s="4" t="s">
        <v>94</v>
      </c>
      <c r="B12" s="21" t="n">
        <v>0</v>
      </c>
      <c r="D12" s="11" t="s">
        <v>95</v>
      </c>
    </row>
    <row r="13" customFormat="false" ht="15" hidden="false" customHeight="false" outlineLevel="0" collapsed="false">
      <c r="A13" s="4" t="s">
        <v>96</v>
      </c>
      <c r="B13" s="21" t="n">
        <v>0</v>
      </c>
      <c r="D13" s="11" t="s">
        <v>97</v>
      </c>
    </row>
    <row r="14" customFormat="false" ht="15" hidden="false" customHeight="false" outlineLevel="0" collapsed="false">
      <c r="A14" s="4" t="s">
        <v>98</v>
      </c>
      <c r="B14" s="22" t="n">
        <f aca="false">IF(Inputs!B13&gt;'Rates &amp; Sources'!B21,'Rates &amp; Sources'!B20,'Rates &amp; Sources'!B19)</f>
        <v>1</v>
      </c>
      <c r="D14" s="11" t="s">
        <v>99</v>
      </c>
    </row>
    <row r="16" customFormat="false" ht="15" hidden="false" customHeight="false" outlineLevel="0" collapsed="false">
      <c r="A16" s="3" t="s">
        <v>100</v>
      </c>
    </row>
    <row r="17" customFormat="false" ht="15" hidden="false" customHeight="false" outlineLevel="0" collapsed="false">
      <c r="A17" s="4" t="s">
        <v>101</v>
      </c>
      <c r="B17" s="21" t="n">
        <v>265000</v>
      </c>
      <c r="D17" s="11" t="s">
        <v>102</v>
      </c>
    </row>
    <row r="18" customFormat="false" ht="15" hidden="false" customHeight="false" outlineLevel="0" collapsed="false">
      <c r="A18" s="4" t="s">
        <v>103</v>
      </c>
      <c r="B18" s="23" t="n">
        <v>110000</v>
      </c>
      <c r="D18" s="11" t="s">
        <v>104</v>
      </c>
    </row>
    <row r="19" customFormat="false" ht="15" hidden="false" customHeight="false" outlineLevel="0" collapsed="false">
      <c r="A19" s="4" t="s">
        <v>105</v>
      </c>
      <c r="B19" s="23" t="n">
        <v>96000</v>
      </c>
      <c r="D19" s="11" t="s">
        <v>106</v>
      </c>
    </row>
    <row r="20" customFormat="false" ht="15" hidden="false" customHeight="false" outlineLevel="0" collapsed="false">
      <c r="A20" s="4" t="s">
        <v>107</v>
      </c>
      <c r="B20" s="23" t="n">
        <v>14000</v>
      </c>
      <c r="D20" s="11"/>
    </row>
    <row r="21" customFormat="false" ht="15" hidden="false" customHeight="false" outlineLevel="0" collapsed="false">
      <c r="A21" s="9" t="s">
        <v>108</v>
      </c>
      <c r="B21" s="9" t="str">
        <f aca="false">IF(Inputs!B18=0,"enter total miles",IF(ABS(Inputs!B19+Inputs!B20-Inputs!B18)&lt;1,"OK","does not reconcile — difference "&amp;TEXT(Inputs!B19+Inputs!B20-Inputs!B18,"#,##0")&amp;" miles"))</f>
        <v>OK</v>
      </c>
    </row>
    <row r="22" customFormat="false" ht="15" hidden="false" customHeight="false" outlineLevel="0" collapsed="false">
      <c r="A22" s="9" t="s">
        <v>109</v>
      </c>
      <c r="B22" s="24" t="n">
        <f aca="false">IF(Inputs!B18=0,0,Inputs!B20/Inputs!B18)</f>
        <v>0.127272727272727</v>
      </c>
    </row>
    <row r="24" customFormat="false" ht="15" hidden="false" customHeight="false" outlineLevel="0" collapsed="false">
      <c r="A24" s="3" t="s">
        <v>110</v>
      </c>
    </row>
    <row r="25" customFormat="false" ht="15" hidden="false" customHeight="false" outlineLevel="0" collapsed="false">
      <c r="A25" s="4" t="s">
        <v>111</v>
      </c>
      <c r="B25" s="23" t="n">
        <v>260</v>
      </c>
      <c r="D25" s="11" t="s">
        <v>112</v>
      </c>
    </row>
    <row r="26" customFormat="false" ht="15" hidden="false" customHeight="false" outlineLevel="0" collapsed="false">
      <c r="A26" s="4" t="s">
        <v>113</v>
      </c>
      <c r="B26" s="23" t="n">
        <v>40</v>
      </c>
      <c r="D26" s="11" t="s">
        <v>114</v>
      </c>
    </row>
    <row r="28" customFormat="false" ht="15" hidden="false" customHeight="false" outlineLevel="0" collapsed="false">
      <c r="A28" s="3" t="s">
        <v>115</v>
      </c>
    </row>
    <row r="29" customFormat="false" ht="15" hidden="false" customHeight="false" outlineLevel="0" collapsed="false">
      <c r="A29" s="4" t="s">
        <v>116</v>
      </c>
      <c r="B29" s="21" t="n">
        <v>0</v>
      </c>
      <c r="D29" s="11" t="s">
        <v>117</v>
      </c>
    </row>
    <row r="32" customFormat="false" ht="15" hidden="false" customHeight="false" outlineLevel="0" collapsed="false">
      <c r="A32" s="9" t="s">
        <v>118</v>
      </c>
    </row>
  </sheetData>
  <dataValidations count="1">
    <dataValidation allowBlank="false" error="Choose one of the four filing statuses." errorStyle="stop" errorTitle="Invalid filing status" operator="between" showDropDown="false" showErrorMessage="false" showInputMessage="false" sqref="B7" type="list">
      <formula1>"Single,Married filing jointly,Married filing separately,Head of household"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58"/>
  </cols>
  <sheetData>
    <row r="1" customFormat="false" ht="17.35" hidden="false" customHeight="false" outlineLevel="0" collapsed="false">
      <c r="A1" s="8" t="s">
        <v>119</v>
      </c>
    </row>
    <row r="2" customFormat="false" ht="15" hidden="false" customHeight="false" outlineLevel="0" collapsed="false">
      <c r="A2" s="9" t="s">
        <v>120</v>
      </c>
    </row>
    <row r="4" customFormat="false" ht="21.75" hidden="false" customHeight="true" outlineLevel="0" collapsed="false">
      <c r="A4" s="14" t="s">
        <v>121</v>
      </c>
      <c r="B4" s="14" t="s">
        <v>122</v>
      </c>
      <c r="C4" s="14" t="s">
        <v>123</v>
      </c>
      <c r="D4" s="14" t="s">
        <v>124</v>
      </c>
      <c r="E4" s="14" t="s">
        <v>75</v>
      </c>
    </row>
    <row r="5" customFormat="false" ht="15" hidden="false" customHeight="false" outlineLevel="0" collapsed="false">
      <c r="A5" s="25" t="s">
        <v>125</v>
      </c>
      <c r="B5" s="26" t="s">
        <v>126</v>
      </c>
      <c r="C5" s="21" t="n">
        <v>62000</v>
      </c>
      <c r="D5" s="27" t="n">
        <f aca="false">IF(Inputs!$B$18=0,0,'Cost Per Mile'!C5/Inputs!$B$18)</f>
        <v>0.563636363636364</v>
      </c>
    </row>
    <row r="6" customFormat="false" ht="15" hidden="false" customHeight="false" outlineLevel="0" collapsed="false">
      <c r="A6" s="4" t="s">
        <v>127</v>
      </c>
      <c r="B6" s="28" t="s">
        <v>126</v>
      </c>
      <c r="C6" s="21" t="n">
        <v>3200</v>
      </c>
      <c r="D6" s="29" t="n">
        <f aca="false">IF(Inputs!$B$18=0,0,'Cost Per Mile'!C6/Inputs!$B$18)</f>
        <v>0.0290909090909091</v>
      </c>
    </row>
    <row r="7" customFormat="false" ht="15" hidden="false" customHeight="false" outlineLevel="0" collapsed="false">
      <c r="A7" s="25" t="s">
        <v>128</v>
      </c>
      <c r="B7" s="26" t="s">
        <v>126</v>
      </c>
      <c r="C7" s="21" t="n">
        <v>5400</v>
      </c>
      <c r="D7" s="27" t="n">
        <f aca="false">IF(Inputs!$B$18=0,0,'Cost Per Mile'!C7/Inputs!$B$18)</f>
        <v>0.0490909090909091</v>
      </c>
    </row>
    <row r="8" customFormat="false" ht="15" hidden="false" customHeight="false" outlineLevel="0" collapsed="false">
      <c r="A8" s="4" t="s">
        <v>129</v>
      </c>
      <c r="B8" s="28" t="s">
        <v>126</v>
      </c>
      <c r="C8" s="21" t="n">
        <v>12500</v>
      </c>
      <c r="D8" s="29" t="n">
        <f aca="false">IF(Inputs!$B$18=0,0,'Cost Per Mile'!C8/Inputs!$B$18)</f>
        <v>0.113636363636364</v>
      </c>
      <c r="E8" s="11" t="s">
        <v>130</v>
      </c>
    </row>
    <row r="9" customFormat="false" ht="15" hidden="false" customHeight="false" outlineLevel="0" collapsed="false">
      <c r="A9" s="25" t="s">
        <v>131</v>
      </c>
      <c r="B9" s="26" t="s">
        <v>126</v>
      </c>
      <c r="C9" s="21" t="n">
        <v>2100</v>
      </c>
      <c r="D9" s="27" t="n">
        <f aca="false">IF(Inputs!$B$18=0,0,'Cost Per Mile'!C9/Inputs!$B$18)</f>
        <v>0.0190909090909091</v>
      </c>
    </row>
    <row r="10" customFormat="false" ht="15" hidden="false" customHeight="false" outlineLevel="0" collapsed="false">
      <c r="A10" s="4" t="s">
        <v>132</v>
      </c>
      <c r="B10" s="28" t="s">
        <v>126</v>
      </c>
      <c r="C10" s="21" t="n">
        <v>3800</v>
      </c>
      <c r="D10" s="29" t="n">
        <f aca="false">IF(Inputs!$B$18=0,0,'Cost Per Mile'!C10/Inputs!$B$18)</f>
        <v>0.0345454545454545</v>
      </c>
      <c r="E10" s="11" t="s">
        <v>133</v>
      </c>
    </row>
    <row r="11" customFormat="false" ht="15" hidden="false" customHeight="false" outlineLevel="0" collapsed="false">
      <c r="A11" s="25" t="s">
        <v>134</v>
      </c>
      <c r="B11" s="26" t="s">
        <v>126</v>
      </c>
      <c r="C11" s="21" t="n">
        <v>9400</v>
      </c>
      <c r="D11" s="27" t="n">
        <f aca="false">IF(Inputs!$B$18=0,0,'Cost Per Mile'!C11/Inputs!$B$18)</f>
        <v>0.0854545454545455</v>
      </c>
    </row>
    <row r="12" customFormat="false" ht="15" hidden="false" customHeight="false" outlineLevel="0" collapsed="false">
      <c r="A12" s="4" t="s">
        <v>135</v>
      </c>
      <c r="B12" s="28" t="s">
        <v>126</v>
      </c>
      <c r="C12" s="21" t="n">
        <v>4700</v>
      </c>
      <c r="D12" s="29" t="n">
        <f aca="false">IF(Inputs!$B$18=0,0,'Cost Per Mile'!C12/Inputs!$B$18)</f>
        <v>0.0427272727272727</v>
      </c>
    </row>
    <row r="13" customFormat="false" ht="15" hidden="false" customHeight="false" outlineLevel="0" collapsed="false">
      <c r="A13" s="25" t="s">
        <v>136</v>
      </c>
      <c r="B13" s="26" t="s">
        <v>137</v>
      </c>
      <c r="C13" s="21" t="n">
        <v>24000</v>
      </c>
      <c r="D13" s="27" t="n">
        <f aca="false">IF(Inputs!$B$18=0,0,'Cost Per Mile'!C13/Inputs!$B$18)</f>
        <v>0.218181818181818</v>
      </c>
      <c r="E13" s="11" t="s">
        <v>138</v>
      </c>
    </row>
    <row r="14" customFormat="false" ht="15" hidden="false" customHeight="false" outlineLevel="0" collapsed="false">
      <c r="A14" s="4" t="s">
        <v>139</v>
      </c>
      <c r="B14" s="28" t="s">
        <v>137</v>
      </c>
      <c r="C14" s="21" t="n">
        <v>6000</v>
      </c>
      <c r="D14" s="29" t="n">
        <f aca="false">IF(Inputs!$B$18=0,0,'Cost Per Mile'!C14/Inputs!$B$18)</f>
        <v>0.0545454545454545</v>
      </c>
    </row>
    <row r="15" customFormat="false" ht="15" hidden="false" customHeight="false" outlineLevel="0" collapsed="false">
      <c r="A15" s="25" t="s">
        <v>140</v>
      </c>
      <c r="B15" s="26" t="s">
        <v>137</v>
      </c>
      <c r="C15" s="21" t="n">
        <v>12800</v>
      </c>
      <c r="D15" s="27" t="n">
        <f aca="false">IF(Inputs!$B$18=0,0,'Cost Per Mile'!C15/Inputs!$B$18)</f>
        <v>0.116363636363636</v>
      </c>
    </row>
    <row r="16" customFormat="false" ht="15" hidden="false" customHeight="false" outlineLevel="0" collapsed="false">
      <c r="A16" s="4" t="s">
        <v>141</v>
      </c>
      <c r="B16" s="28" t="s">
        <v>137</v>
      </c>
      <c r="C16" s="21" t="n">
        <v>3900</v>
      </c>
      <c r="D16" s="29" t="n">
        <f aca="false">IF(Inputs!$B$18=0,0,'Cost Per Mile'!C16/Inputs!$B$18)</f>
        <v>0.0354545454545455</v>
      </c>
    </row>
    <row r="17" customFormat="false" ht="15" hidden="false" customHeight="false" outlineLevel="0" collapsed="false">
      <c r="A17" s="25" t="s">
        <v>142</v>
      </c>
      <c r="B17" s="26" t="s">
        <v>137</v>
      </c>
      <c r="C17" s="21" t="n">
        <v>4200</v>
      </c>
      <c r="D17" s="27" t="n">
        <f aca="false">IF(Inputs!$B$18=0,0,'Cost Per Mile'!C17/Inputs!$B$18)</f>
        <v>0.0381818181818182</v>
      </c>
      <c r="E17" s="11" t="s">
        <v>143</v>
      </c>
    </row>
    <row r="18" customFormat="false" ht="15" hidden="false" customHeight="false" outlineLevel="0" collapsed="false">
      <c r="A18" s="4" t="s">
        <v>144</v>
      </c>
      <c r="B18" s="28" t="s">
        <v>137</v>
      </c>
      <c r="C18" s="21" t="n">
        <v>2400</v>
      </c>
      <c r="D18" s="29" t="n">
        <f aca="false">IF(Inputs!$B$18=0,0,'Cost Per Mile'!C18/Inputs!$B$18)</f>
        <v>0.0218181818181818</v>
      </c>
    </row>
    <row r="19" customFormat="false" ht="15" hidden="false" customHeight="false" outlineLevel="0" collapsed="false">
      <c r="A19" s="25" t="s">
        <v>145</v>
      </c>
      <c r="B19" s="26" t="s">
        <v>137</v>
      </c>
      <c r="C19" s="21" t="n">
        <v>550</v>
      </c>
      <c r="D19" s="27" t="n">
        <f aca="false">IF(Inputs!$B$18=0,0,'Cost Per Mile'!C19/Inputs!$B$18)</f>
        <v>0.005</v>
      </c>
      <c r="E19" s="11" t="s">
        <v>146</v>
      </c>
    </row>
    <row r="20" customFormat="false" ht="15" hidden="false" customHeight="false" outlineLevel="0" collapsed="false">
      <c r="A20" s="4" t="s">
        <v>147</v>
      </c>
      <c r="B20" s="28" t="s">
        <v>137</v>
      </c>
      <c r="C20" s="21" t="n">
        <v>700</v>
      </c>
      <c r="D20" s="29" t="n">
        <f aca="false">IF(Inputs!$B$18=0,0,'Cost Per Mile'!C20/Inputs!$B$18)</f>
        <v>0.00636363636363636</v>
      </c>
    </row>
    <row r="21" customFormat="false" ht="15" hidden="false" customHeight="false" outlineLevel="0" collapsed="false">
      <c r="A21" s="25" t="s">
        <v>148</v>
      </c>
      <c r="B21" s="26" t="s">
        <v>137</v>
      </c>
      <c r="C21" s="21" t="n">
        <v>1450</v>
      </c>
      <c r="D21" s="27" t="n">
        <f aca="false">IF(Inputs!$B$18=0,0,'Cost Per Mile'!C21/Inputs!$B$18)</f>
        <v>0.0131818181818182</v>
      </c>
    </row>
    <row r="22" customFormat="false" ht="15" hidden="false" customHeight="false" outlineLevel="0" collapsed="false">
      <c r="A22" s="4" t="s">
        <v>149</v>
      </c>
      <c r="B22" s="28" t="s">
        <v>137</v>
      </c>
      <c r="C22" s="21" t="n">
        <v>1100</v>
      </c>
      <c r="D22" s="29" t="n">
        <f aca="false">IF(Inputs!$B$18=0,0,'Cost Per Mile'!C22/Inputs!$B$18)</f>
        <v>0.01</v>
      </c>
      <c r="E22" s="11" t="s">
        <v>150</v>
      </c>
    </row>
    <row r="23" customFormat="false" ht="15" hidden="false" customHeight="false" outlineLevel="0" collapsed="false">
      <c r="A23" s="25" t="s">
        <v>151</v>
      </c>
      <c r="B23" s="26" t="s">
        <v>137</v>
      </c>
      <c r="C23" s="21" t="n">
        <v>2800</v>
      </c>
      <c r="D23" s="27" t="n">
        <f aca="false">IF(Inputs!$B$18=0,0,'Cost Per Mile'!C23/Inputs!$B$18)</f>
        <v>0.0254545454545455</v>
      </c>
    </row>
    <row r="24" customFormat="false" ht="15" hidden="false" customHeight="false" outlineLevel="0" collapsed="false">
      <c r="A24" s="4" t="s">
        <v>152</v>
      </c>
      <c r="B24" s="28" t="s">
        <v>137</v>
      </c>
      <c r="C24" s="21" t="n">
        <v>480</v>
      </c>
      <c r="D24" s="29" t="n">
        <f aca="false">IF(Inputs!$B$18=0,0,'Cost Per Mile'!C24/Inputs!$B$18)</f>
        <v>0.00436363636363636</v>
      </c>
    </row>
    <row r="25" customFormat="false" ht="15" hidden="false" customHeight="false" outlineLevel="0" collapsed="false">
      <c r="A25" s="25" t="s">
        <v>153</v>
      </c>
      <c r="B25" s="26" t="s">
        <v>126</v>
      </c>
      <c r="C25" s="21" t="n">
        <v>0</v>
      </c>
      <c r="D25" s="27" t="n">
        <f aca="false">IF(Inputs!$B$18=0,0,'Cost Per Mile'!C25/Inputs!$B$18)</f>
        <v>0</v>
      </c>
    </row>
    <row r="26" customFormat="false" ht="15" hidden="false" customHeight="false" outlineLevel="0" collapsed="false">
      <c r="A26" s="30" t="s">
        <v>154</v>
      </c>
      <c r="B26" s="31"/>
      <c r="C26" s="32" t="n">
        <f aca="false">SUM(C5:C25)</f>
        <v>163480</v>
      </c>
      <c r="D26" s="33" t="n">
        <f aca="false">IF(Inputs!$B$18=0,0,'Cost Per Mile'!C26/Inputs!$B$18)</f>
        <v>1.48618181818182</v>
      </c>
    </row>
    <row r="28" customFormat="false" ht="15" hidden="false" customHeight="false" outlineLevel="0" collapsed="false">
      <c r="A28" s="4" t="s">
        <v>155</v>
      </c>
      <c r="B28" s="28" t="s">
        <v>137</v>
      </c>
      <c r="C28" s="21" t="n">
        <v>21000</v>
      </c>
      <c r="D28" s="29" t="n">
        <f aca="false">IF(Inputs!$B$18=0,0,'Cost Per Mile'!C28/Inputs!$B$18)</f>
        <v>0.190909090909091</v>
      </c>
      <c r="E28" s="11" t="s">
        <v>156</v>
      </c>
    </row>
    <row r="29" customFormat="false" ht="15" hidden="false" customHeight="false" outlineLevel="0" collapsed="false">
      <c r="A29" s="34" t="s">
        <v>157</v>
      </c>
      <c r="B29" s="35"/>
      <c r="C29" s="36" t="n">
        <f aca="false">C26+C28</f>
        <v>184480</v>
      </c>
      <c r="D29" s="37" t="n">
        <f aca="false">IF(Inputs!$B$18=0,0,'Cost Per Mile'!C29/Inputs!$B$18)</f>
        <v>1.67709090909091</v>
      </c>
    </row>
    <row r="31" customFormat="false" ht="15" hidden="false" customHeight="false" outlineLevel="0" collapsed="false">
      <c r="A31" s="3" t="s">
        <v>158</v>
      </c>
    </row>
    <row r="32" customFormat="false" ht="15" hidden="false" customHeight="false" outlineLevel="0" collapsed="false">
      <c r="A32" s="4" t="s">
        <v>159</v>
      </c>
      <c r="C32" s="29" t="n">
        <f aca="false">IF(Inputs!$B$18=0,0,SUMIF($B$5:$B$28,"Fixed",$C$5:$C$28)/Inputs!$B$18)</f>
        <v>0.739818181818182</v>
      </c>
    </row>
    <row r="33" customFormat="false" ht="15" hidden="false" customHeight="false" outlineLevel="0" collapsed="false">
      <c r="A33" s="4" t="s">
        <v>160</v>
      </c>
      <c r="C33" s="29" t="n">
        <f aca="false">IF(Inputs!$B$18=0,0,SUMIF($B$5:$B$28,"Variable",$C$5:$C$28)/Inputs!$B$18)</f>
        <v>0.937272727272727</v>
      </c>
    </row>
    <row r="34" customFormat="false" ht="15" hidden="false" customHeight="false" outlineLevel="0" collapsed="false">
      <c r="A34" s="4" t="s">
        <v>161</v>
      </c>
      <c r="C34" s="29" t="n">
        <f aca="false">IF(Inputs!$B$18=0,0,C29/Inputs!$B$18)</f>
        <v>1.67709090909091</v>
      </c>
    </row>
    <row r="35" customFormat="false" ht="15" hidden="false" customHeight="false" outlineLevel="0" collapsed="false">
      <c r="A35" s="4" t="s">
        <v>162</v>
      </c>
      <c r="C35" s="29" t="n">
        <f aca="false">IF(Inputs!$B$18=0,0,Inputs!$B$17/Inputs!$B$18)</f>
        <v>2.40909090909091</v>
      </c>
    </row>
    <row r="36" customFormat="false" ht="15" hidden="false" customHeight="false" outlineLevel="0" collapsed="false">
      <c r="A36" s="38" t="s">
        <v>163</v>
      </c>
      <c r="C36" s="39" t="n">
        <f aca="false">IF(Inputs!$B$18=0,0,(Inputs!$B$17-C29)/Inputs!$B$18)</f>
        <v>0.732</v>
      </c>
    </row>
    <row r="37" customFormat="false" ht="15" hidden="false" customHeight="false" outlineLevel="0" collapsed="false">
      <c r="A37" s="38" t="s">
        <v>164</v>
      </c>
      <c r="C37" s="39" t="n">
        <f aca="false">IF(Inputs!$B$19=0,0,Inputs!$B$17/Inputs!$B$19)</f>
        <v>2.76041666666667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2" min="2" style="0" width="18"/>
    <col collapsed="false" customWidth="true" hidden="false" outlineLevel="0" max="4" min="3" style="0" width="16"/>
    <col collapsed="false" customWidth="true" hidden="false" outlineLevel="0" max="5" min="5" style="0" width="18"/>
    <col collapsed="false" customWidth="true" hidden="false" outlineLevel="0" max="6" min="6" style="0" width="62"/>
  </cols>
  <sheetData>
    <row r="1" customFormat="false" ht="17.35" hidden="false" customHeight="false" outlineLevel="0" collapsed="false">
      <c r="A1" s="8" t="s">
        <v>165</v>
      </c>
    </row>
    <row r="2" customFormat="false" ht="15" hidden="false" customHeight="false" outlineLevel="0" collapsed="false">
      <c r="A2" s="9" t="s">
        <v>166</v>
      </c>
    </row>
    <row r="4" customFormat="false" ht="15" hidden="false" customHeight="false" outlineLevel="0" collapsed="false">
      <c r="A4" s="3" t="s">
        <v>167</v>
      </c>
    </row>
    <row r="5" customFormat="false" ht="15" hidden="false" customHeight="false" outlineLevel="0" collapsed="false">
      <c r="A5" s="4" t="s">
        <v>168</v>
      </c>
      <c r="B5" s="40" t="n">
        <f aca="false">Inputs!B25</f>
        <v>260</v>
      </c>
    </row>
    <row r="6" customFormat="false" ht="15" hidden="false" customHeight="false" outlineLevel="0" collapsed="false">
      <c r="A6" s="4" t="s">
        <v>169</v>
      </c>
      <c r="B6" s="40" t="n">
        <f aca="false">Inputs!B26</f>
        <v>40</v>
      </c>
    </row>
    <row r="7" customFormat="false" ht="15" hidden="false" customHeight="false" outlineLevel="0" collapsed="false">
      <c r="A7" s="4" t="s">
        <v>170</v>
      </c>
      <c r="B7" s="41" t="n">
        <f aca="false">'Rates &amp; Sources'!B5</f>
        <v>80</v>
      </c>
      <c r="F7" s="11" t="s">
        <v>33</v>
      </c>
    </row>
    <row r="8" customFormat="false" ht="15" hidden="false" customHeight="false" outlineLevel="0" collapsed="false">
      <c r="A8" s="4" t="s">
        <v>171</v>
      </c>
      <c r="B8" s="42" t="n">
        <f aca="false">'Rates &amp; Sources'!B5*'Rates &amp; Sources'!B7</f>
        <v>60</v>
      </c>
      <c r="F8" s="11" t="s">
        <v>172</v>
      </c>
    </row>
    <row r="9" customFormat="false" ht="15" hidden="false" customHeight="false" outlineLevel="0" collapsed="false">
      <c r="A9" s="4" t="s">
        <v>173</v>
      </c>
      <c r="B9" s="42" t="n">
        <f aca="false">Estimate!B5*Estimate!B7+Estimate!B6*Estimate!B8</f>
        <v>23200</v>
      </c>
    </row>
    <row r="10" customFormat="false" ht="15" hidden="false" customHeight="false" outlineLevel="0" collapsed="false">
      <c r="A10" s="4" t="s">
        <v>174</v>
      </c>
      <c r="B10" s="43" t="n">
        <f aca="false">'Rates &amp; Sources'!B8</f>
        <v>0.8</v>
      </c>
      <c r="F10" s="11" t="s">
        <v>175</v>
      </c>
    </row>
    <row r="11" customFormat="false" ht="15" hidden="false" customHeight="false" outlineLevel="0" collapsed="false">
      <c r="A11" s="38" t="s">
        <v>176</v>
      </c>
      <c r="B11" s="44" t="n">
        <f aca="false">Estimate!B9*Estimate!B10</f>
        <v>18560</v>
      </c>
    </row>
    <row r="13" customFormat="false" ht="15" hidden="false" customHeight="false" outlineLevel="0" collapsed="false">
      <c r="A13" s="3" t="s">
        <v>177</v>
      </c>
    </row>
    <row r="14" customFormat="false" ht="15" hidden="false" customHeight="false" outlineLevel="0" collapsed="false">
      <c r="A14" s="4" t="s">
        <v>178</v>
      </c>
      <c r="B14" s="41" t="n">
        <f aca="false">Inputs!B17</f>
        <v>265000</v>
      </c>
    </row>
    <row r="15" customFormat="false" ht="15" hidden="false" customHeight="false" outlineLevel="0" collapsed="false">
      <c r="A15" s="4" t="s">
        <v>179</v>
      </c>
      <c r="B15" s="41" t="n">
        <f aca="false">-'Cost Per Mile'!C29</f>
        <v>-184480</v>
      </c>
    </row>
    <row r="16" customFormat="false" ht="15" hidden="false" customHeight="false" outlineLevel="0" collapsed="false">
      <c r="A16" s="4" t="s">
        <v>176</v>
      </c>
      <c r="B16" s="42" t="n">
        <f aca="false">-Estimate!B11</f>
        <v>-18560</v>
      </c>
    </row>
    <row r="17" customFormat="false" ht="15" hidden="false" customHeight="false" outlineLevel="0" collapsed="false">
      <c r="A17" s="38" t="s">
        <v>180</v>
      </c>
      <c r="B17" s="44" t="n">
        <f aca="false">SUM(Estimate!B14:B16)</f>
        <v>61960</v>
      </c>
    </row>
    <row r="19" customFormat="false" ht="15" hidden="false" customHeight="false" outlineLevel="0" collapsed="false">
      <c r="A19" s="3" t="s">
        <v>181</v>
      </c>
    </row>
    <row r="20" customFormat="false" ht="15" hidden="false" customHeight="false" outlineLevel="0" collapsed="false">
      <c r="A20" s="4" t="s">
        <v>182</v>
      </c>
      <c r="B20" s="42" t="n">
        <f aca="false">MAX(0,Estimate!B17*'Rates &amp; Sources'!B12)</f>
        <v>57220.06</v>
      </c>
      <c r="F20" s="11" t="s">
        <v>183</v>
      </c>
    </row>
    <row r="21" customFormat="false" ht="15" hidden="false" customHeight="false" outlineLevel="0" collapsed="false">
      <c r="A21" s="4" t="s">
        <v>184</v>
      </c>
      <c r="B21" s="41" t="n">
        <f aca="false">'Rates &amp; Sources'!B11</f>
        <v>184500</v>
      </c>
    </row>
    <row r="22" customFormat="false" ht="15" hidden="false" customHeight="false" outlineLevel="0" collapsed="false">
      <c r="A22" s="4" t="s">
        <v>185</v>
      </c>
      <c r="B22" s="41" t="n">
        <f aca="false">-Inputs!B8</f>
        <v>-0</v>
      </c>
    </row>
    <row r="23" customFormat="false" ht="15" hidden="false" customHeight="false" outlineLevel="0" collapsed="false">
      <c r="A23" s="4" t="s">
        <v>186</v>
      </c>
      <c r="B23" s="42" t="n">
        <f aca="false">MAX(0,Estimate!B21+Estimate!B22)</f>
        <v>184500</v>
      </c>
    </row>
    <row r="24" customFormat="false" ht="15" hidden="false" customHeight="false" outlineLevel="0" collapsed="false">
      <c r="A24" s="4" t="s">
        <v>187</v>
      </c>
      <c r="B24" s="42" t="n">
        <f aca="false">MIN(Estimate!B20,Estimate!B23)*'Rates &amp; Sources'!B13</f>
        <v>7095.28744</v>
      </c>
      <c r="F24" s="11" t="s">
        <v>188</v>
      </c>
    </row>
    <row r="25" customFormat="false" ht="15" hidden="false" customHeight="false" outlineLevel="0" collapsed="false">
      <c r="A25" s="4" t="s">
        <v>189</v>
      </c>
      <c r="B25" s="42" t="n">
        <f aca="false">Estimate!B20*'Rates &amp; Sources'!B14</f>
        <v>1659.38174</v>
      </c>
      <c r="F25" s="11" t="s">
        <v>190</v>
      </c>
    </row>
    <row r="26" customFormat="false" ht="15" hidden="false" customHeight="false" outlineLevel="0" collapsed="false">
      <c r="A26" s="4" t="s">
        <v>191</v>
      </c>
      <c r="B26" s="42" t="n">
        <f aca="false">INDEX('Rates &amp; Sources'!$C$27:$F$27,1,MATCH(Inputs!$B$7,'Rates &amp; Sources'!$C$25:$F$25,0))</f>
        <v>250000</v>
      </c>
      <c r="F26" s="11" t="s">
        <v>192</v>
      </c>
    </row>
    <row r="27" customFormat="false" ht="15" hidden="false" customHeight="false" outlineLevel="0" collapsed="false">
      <c r="A27" s="4" t="s">
        <v>193</v>
      </c>
      <c r="B27" s="42" t="n">
        <f aca="false">MAX(0,Estimate!B20+Inputs!B8-Estimate!B26)*'Rates &amp; Sources'!B15</f>
        <v>0</v>
      </c>
      <c r="F27" s="11" t="s">
        <v>194</v>
      </c>
    </row>
    <row r="28" customFormat="false" ht="15" hidden="false" customHeight="false" outlineLevel="0" collapsed="false">
      <c r="A28" s="38" t="s">
        <v>195</v>
      </c>
      <c r="B28" s="44" t="n">
        <f aca="false">Estimate!B24+Estimate!B25+Estimate!B27</f>
        <v>8754.66918</v>
      </c>
    </row>
    <row r="29" customFormat="false" ht="15" hidden="false" customHeight="false" outlineLevel="0" collapsed="false">
      <c r="A29" s="4" t="s">
        <v>196</v>
      </c>
      <c r="B29" s="42" t="n">
        <f aca="false">(Estimate!B24+Estimate!B25)/2</f>
        <v>4377.33459</v>
      </c>
      <c r="F29" s="11" t="s">
        <v>197</v>
      </c>
    </row>
    <row r="31" customFormat="false" ht="15" hidden="false" customHeight="false" outlineLevel="0" collapsed="false">
      <c r="A31" s="3" t="s">
        <v>198</v>
      </c>
    </row>
    <row r="32" customFormat="false" ht="15" hidden="false" customHeight="false" outlineLevel="0" collapsed="false">
      <c r="A32" s="4" t="s">
        <v>199</v>
      </c>
      <c r="B32" s="42" t="n">
        <f aca="false">Estimate!B17</f>
        <v>61960</v>
      </c>
    </row>
    <row r="33" customFormat="false" ht="15" hidden="false" customHeight="false" outlineLevel="0" collapsed="false">
      <c r="A33" s="4" t="s">
        <v>200</v>
      </c>
      <c r="B33" s="42" t="n">
        <f aca="false">-Estimate!B29</f>
        <v>-4377.33459</v>
      </c>
    </row>
    <row r="34" customFormat="false" ht="15" hidden="false" customHeight="false" outlineLevel="0" collapsed="false">
      <c r="A34" s="4" t="s">
        <v>201</v>
      </c>
      <c r="B34" s="41" t="n">
        <f aca="false">Inputs!B8</f>
        <v>0</v>
      </c>
    </row>
    <row r="35" customFormat="false" ht="15" hidden="false" customHeight="false" outlineLevel="0" collapsed="false">
      <c r="A35" s="4" t="s">
        <v>202</v>
      </c>
      <c r="B35" s="41" t="n">
        <f aca="false">Inputs!B29</f>
        <v>0</v>
      </c>
    </row>
    <row r="36" customFormat="false" ht="15" hidden="false" customHeight="false" outlineLevel="0" collapsed="false">
      <c r="A36" s="38" t="s">
        <v>203</v>
      </c>
      <c r="B36" s="44" t="n">
        <f aca="false">SUM(Estimate!B32:B35)</f>
        <v>57582.66541</v>
      </c>
    </row>
    <row r="37" customFormat="false" ht="15" hidden="false" customHeight="false" outlineLevel="0" collapsed="false">
      <c r="A37" s="4" t="s">
        <v>204</v>
      </c>
      <c r="B37" s="42" t="n">
        <f aca="false">-INDEX('Rates &amp; Sources'!$C$26:$F$26,1,MATCH(Inputs!$B$7,'Rates &amp; Sources'!$C$25:$F$25,0))</f>
        <v>-32200</v>
      </c>
      <c r="F37" s="11" t="s">
        <v>205</v>
      </c>
    </row>
    <row r="38" customFormat="false" ht="15" hidden="false" customHeight="false" outlineLevel="0" collapsed="false">
      <c r="A38" s="4" t="s">
        <v>206</v>
      </c>
      <c r="B38" s="42" t="n">
        <f aca="false">MAX(0,Estimate!B36+Estimate!B37)</f>
        <v>25382.66541</v>
      </c>
    </row>
    <row r="39" customFormat="false" ht="15" hidden="false" customHeight="false" outlineLevel="0" collapsed="false">
      <c r="A39" s="4" t="s">
        <v>207</v>
      </c>
      <c r="B39" s="42" t="n">
        <f aca="false">INDEX('Rates &amp; Sources'!$C$28:$F$28,1,MATCH(Inputs!$B$7,'Rates &amp; Sources'!$C$25:$F$25,0))</f>
        <v>403500</v>
      </c>
      <c r="F39" s="11" t="s">
        <v>208</v>
      </c>
    </row>
    <row r="40" customFormat="false" ht="15" hidden="false" customHeight="false" outlineLevel="0" collapsed="false">
      <c r="A40" s="4" t="s">
        <v>209</v>
      </c>
      <c r="B40" s="42" t="n">
        <f aca="false">-MIN(MAX(0,Estimate!B17-Estimate!B29)*0.2,Estimate!B38*0.2)</f>
        <v>-5076.533082</v>
      </c>
      <c r="F40" s="11" t="s">
        <v>210</v>
      </c>
    </row>
    <row r="41" customFormat="false" ht="15" hidden="false" customHeight="false" outlineLevel="0" collapsed="false">
      <c r="A41" s="9" t="s">
        <v>211</v>
      </c>
      <c r="B41" s="9" t="str">
        <f aca="false">IF(Estimate!B36&gt;Estimate!B39,"AGI exceeds the 199A threshold — the deduction at row 40 is unreliable. Compute it manually.","Below the threshold — the simple 20% calculation applies.")</f>
        <v>Below the threshold — the simple 20% calculation applies.</v>
      </c>
    </row>
    <row r="42" customFormat="false" ht="15" hidden="false" customHeight="false" outlineLevel="0" collapsed="false">
      <c r="A42" s="38" t="s">
        <v>212</v>
      </c>
      <c r="B42" s="44" t="n">
        <f aca="false">MAX(0,Estimate!B38+Estimate!B40)</f>
        <v>20306.132328</v>
      </c>
    </row>
    <row r="44" customFormat="false" ht="15" hidden="false" customHeight="false" outlineLevel="0" collapsed="false">
      <c r="A44" s="3" t="s">
        <v>213</v>
      </c>
    </row>
    <row r="45" customFormat="false" ht="21.75" hidden="false" customHeight="true" outlineLevel="0" collapsed="false">
      <c r="A45" s="14" t="s">
        <v>72</v>
      </c>
      <c r="B45" s="14" t="s">
        <v>73</v>
      </c>
      <c r="C45" s="14" t="s">
        <v>214</v>
      </c>
      <c r="D45" s="14" t="s">
        <v>215</v>
      </c>
      <c r="E45" s="14" t="s">
        <v>216</v>
      </c>
      <c r="F45" s="11" t="s">
        <v>217</v>
      </c>
    </row>
    <row r="46" customFormat="false" ht="15" hidden="false" customHeight="false" outlineLevel="0" collapsed="false">
      <c r="A46" s="15" t="n">
        <v>1</v>
      </c>
      <c r="B46" s="45" t="n">
        <f aca="false">'Rates &amp; Sources'!B32</f>
        <v>0.1</v>
      </c>
      <c r="C46" s="46" t="n">
        <f aca="false">INDEX('Rates &amp; Sources'!$C$32:$F$32,1,MATCH(Inputs!$B$7,'Rates &amp; Sources'!$C$25:$F$25,0))</f>
        <v>0</v>
      </c>
      <c r="D46" s="47" t="n">
        <f aca="false">'Rates &amp; Sources'!B32</f>
        <v>0.1</v>
      </c>
      <c r="E46" s="46" t="n">
        <f aca="false">MAX(0,$B$42-C46)*D46</f>
        <v>2030.6132328</v>
      </c>
    </row>
    <row r="47" customFormat="false" ht="15" hidden="false" customHeight="false" outlineLevel="0" collapsed="false">
      <c r="A47" s="18" t="n">
        <v>2</v>
      </c>
      <c r="B47" s="43" t="n">
        <f aca="false">'Rates &amp; Sources'!B33</f>
        <v>0.12</v>
      </c>
      <c r="C47" s="42" t="n">
        <f aca="false">INDEX('Rates &amp; Sources'!$C$33:$F$33,1,MATCH(Inputs!$B$7,'Rates &amp; Sources'!$C$25:$F$25,0))</f>
        <v>24800</v>
      </c>
      <c r="D47" s="22" t="n">
        <f aca="false">'Rates &amp; Sources'!B33-'Rates &amp; Sources'!B32</f>
        <v>0.02</v>
      </c>
      <c r="E47" s="42" t="n">
        <f aca="false">MAX(0,$B$42-C47)*D47</f>
        <v>0</v>
      </c>
    </row>
    <row r="48" customFormat="false" ht="15" hidden="false" customHeight="false" outlineLevel="0" collapsed="false">
      <c r="A48" s="15" t="n">
        <v>3</v>
      </c>
      <c r="B48" s="45" t="n">
        <f aca="false">'Rates &amp; Sources'!B34</f>
        <v>0.22</v>
      </c>
      <c r="C48" s="46" t="n">
        <f aca="false">INDEX('Rates &amp; Sources'!$C$34:$F$34,1,MATCH(Inputs!$B$7,'Rates &amp; Sources'!$C$25:$F$25,0))</f>
        <v>100800</v>
      </c>
      <c r="D48" s="47" t="n">
        <f aca="false">'Rates &amp; Sources'!B34-'Rates &amp; Sources'!B33</f>
        <v>0.1</v>
      </c>
      <c r="E48" s="46" t="n">
        <f aca="false">MAX(0,$B$42-C48)*D48</f>
        <v>0</v>
      </c>
    </row>
    <row r="49" customFormat="false" ht="15" hidden="false" customHeight="false" outlineLevel="0" collapsed="false">
      <c r="A49" s="18" t="n">
        <v>4</v>
      </c>
      <c r="B49" s="43" t="n">
        <f aca="false">'Rates &amp; Sources'!B35</f>
        <v>0.24</v>
      </c>
      <c r="C49" s="42" t="n">
        <f aca="false">INDEX('Rates &amp; Sources'!$C$35:$F$35,1,MATCH(Inputs!$B$7,'Rates &amp; Sources'!$C$25:$F$25,0))</f>
        <v>211400</v>
      </c>
      <c r="D49" s="22" t="n">
        <f aca="false">'Rates &amp; Sources'!B35-'Rates &amp; Sources'!B34</f>
        <v>0.02</v>
      </c>
      <c r="E49" s="42" t="n">
        <f aca="false">MAX(0,$B$42-C49)*D49</f>
        <v>0</v>
      </c>
    </row>
    <row r="50" customFormat="false" ht="15" hidden="false" customHeight="false" outlineLevel="0" collapsed="false">
      <c r="A50" s="15" t="n">
        <v>5</v>
      </c>
      <c r="B50" s="45" t="n">
        <f aca="false">'Rates &amp; Sources'!B36</f>
        <v>0.32</v>
      </c>
      <c r="C50" s="46" t="n">
        <f aca="false">INDEX('Rates &amp; Sources'!$C$36:$F$36,1,MATCH(Inputs!$B$7,'Rates &amp; Sources'!$C$25:$F$25,0))</f>
        <v>403550</v>
      </c>
      <c r="D50" s="47" t="n">
        <f aca="false">'Rates &amp; Sources'!B36-'Rates &amp; Sources'!B35</f>
        <v>0.08</v>
      </c>
      <c r="E50" s="46" t="n">
        <f aca="false">MAX(0,$B$42-C50)*D50</f>
        <v>0</v>
      </c>
    </row>
    <row r="51" customFormat="false" ht="15" hidden="false" customHeight="false" outlineLevel="0" collapsed="false">
      <c r="A51" s="18" t="n">
        <v>6</v>
      </c>
      <c r="B51" s="43" t="n">
        <f aca="false">'Rates &amp; Sources'!B37</f>
        <v>0.35</v>
      </c>
      <c r="C51" s="42" t="n">
        <f aca="false">INDEX('Rates &amp; Sources'!$C$37:$F$37,1,MATCH(Inputs!$B$7,'Rates &amp; Sources'!$C$25:$F$25,0))</f>
        <v>512450</v>
      </c>
      <c r="D51" s="22" t="n">
        <f aca="false">'Rates &amp; Sources'!B37-'Rates &amp; Sources'!B36</f>
        <v>0.03</v>
      </c>
      <c r="E51" s="42" t="n">
        <f aca="false">MAX(0,$B$42-C51)*D51</f>
        <v>0</v>
      </c>
    </row>
    <row r="52" customFormat="false" ht="15" hidden="false" customHeight="false" outlineLevel="0" collapsed="false">
      <c r="A52" s="15" t="n">
        <v>7</v>
      </c>
      <c r="B52" s="45" t="n">
        <f aca="false">'Rates &amp; Sources'!B38</f>
        <v>0.37</v>
      </c>
      <c r="C52" s="46" t="n">
        <f aca="false">INDEX('Rates &amp; Sources'!$C$38:$F$38,1,MATCH(Inputs!$B$7,'Rates &amp; Sources'!$C$25:$F$25,0))</f>
        <v>768700</v>
      </c>
      <c r="D52" s="47" t="n">
        <f aca="false">'Rates &amp; Sources'!B38-'Rates &amp; Sources'!B37</f>
        <v>0.02</v>
      </c>
      <c r="E52" s="46" t="n">
        <f aca="false">MAX(0,$B$42-C52)*D52</f>
        <v>0</v>
      </c>
    </row>
    <row r="53" customFormat="false" ht="15" hidden="false" customHeight="false" outlineLevel="0" collapsed="false">
      <c r="A53" s="38" t="s">
        <v>218</v>
      </c>
      <c r="B53" s="44" t="n">
        <f aca="false">SUM(Estimate!E46:E52)</f>
        <v>2030.6132328</v>
      </c>
    </row>
    <row r="55" customFormat="false" ht="15" hidden="false" customHeight="false" outlineLevel="0" collapsed="false">
      <c r="A55" s="3" t="s">
        <v>219</v>
      </c>
    </row>
    <row r="56" customFormat="false" ht="15" hidden="false" customHeight="false" outlineLevel="0" collapsed="false">
      <c r="A56" s="4" t="s">
        <v>218</v>
      </c>
      <c r="B56" s="42" t="n">
        <f aca="false">Estimate!B53</f>
        <v>2030.6132328</v>
      </c>
    </row>
    <row r="57" customFormat="false" ht="15" hidden="false" customHeight="false" outlineLevel="0" collapsed="false">
      <c r="A57" s="4" t="s">
        <v>38</v>
      </c>
      <c r="B57" s="42" t="n">
        <f aca="false">Estimate!B28</f>
        <v>8754.66918</v>
      </c>
    </row>
    <row r="58" customFormat="false" ht="15" hidden="false" customHeight="false" outlineLevel="0" collapsed="false">
      <c r="A58" s="38" t="s">
        <v>220</v>
      </c>
      <c r="B58" s="44" t="n">
        <f aca="false">Estimate!B56+Estimate!B57</f>
        <v>10785.2824128</v>
      </c>
    </row>
    <row r="60" customFormat="false" ht="15" hidden="false" customHeight="false" outlineLevel="0" collapsed="false">
      <c r="A60" s="4" t="s">
        <v>221</v>
      </c>
      <c r="B60" s="42" t="n">
        <f aca="false">Estimate!B58*'Rates &amp; Sources'!B18</f>
        <v>9706.75417152</v>
      </c>
      <c r="F60" s="11" t="s">
        <v>222</v>
      </c>
    </row>
    <row r="61" customFormat="false" ht="15" hidden="false" customHeight="false" outlineLevel="0" collapsed="false">
      <c r="A61" s="4" t="s">
        <v>223</v>
      </c>
      <c r="B61" s="41" t="n">
        <f aca="false">Inputs!B12</f>
        <v>0</v>
      </c>
    </row>
    <row r="62" customFormat="false" ht="15" hidden="false" customHeight="false" outlineLevel="0" collapsed="false">
      <c r="A62" s="4" t="s">
        <v>224</v>
      </c>
      <c r="B62" s="43" t="n">
        <f aca="false">Inputs!B14</f>
        <v>1</v>
      </c>
      <c r="F62" s="11" t="s">
        <v>225</v>
      </c>
    </row>
    <row r="63" customFormat="false" ht="15" hidden="false" customHeight="false" outlineLevel="0" collapsed="false">
      <c r="A63" s="4" t="s">
        <v>226</v>
      </c>
      <c r="B63" s="42" t="n">
        <f aca="false">Estimate!B61*Estimate!B62</f>
        <v>0</v>
      </c>
    </row>
    <row r="64" customFormat="false" ht="15" hidden="false" customHeight="false" outlineLevel="0" collapsed="false">
      <c r="A64" s="4" t="s">
        <v>227</v>
      </c>
      <c r="B64" s="42" t="n">
        <f aca="false">IF(Estimate!B61&lt;=0,Estimate!B60,MIN(Estimate!B60,Estimate!B63))</f>
        <v>9706.75417152</v>
      </c>
      <c r="F64" s="11" t="s">
        <v>228</v>
      </c>
    </row>
    <row r="65" customFormat="false" ht="15" hidden="false" customHeight="false" outlineLevel="0" collapsed="false">
      <c r="A65" s="4" t="s">
        <v>229</v>
      </c>
      <c r="B65" s="41" t="n">
        <f aca="false">-Inputs!B9</f>
        <v>-0</v>
      </c>
    </row>
    <row r="66" customFormat="false" ht="15" hidden="false" customHeight="false" outlineLevel="0" collapsed="false">
      <c r="A66" s="38" t="s">
        <v>230</v>
      </c>
      <c r="B66" s="48" t="n">
        <f aca="false">MAX(0,Estimate!B64+Estimate!B65)</f>
        <v>9706.75417152</v>
      </c>
    </row>
    <row r="67" customFormat="false" ht="15" hidden="false" customHeight="false" outlineLevel="0" collapsed="false">
      <c r="A67" s="38" t="s">
        <v>231</v>
      </c>
      <c r="B67" s="48" t="n">
        <f aca="false">Estimate!B66/4</f>
        <v>2426.68854288</v>
      </c>
      <c r="F67" s="11" t="s">
        <v>232</v>
      </c>
    </row>
    <row r="69" customFormat="false" ht="15" hidden="false" customHeight="false" outlineLevel="0" collapsed="false">
      <c r="A69" s="3" t="s">
        <v>233</v>
      </c>
    </row>
    <row r="70" customFormat="false" ht="15" hidden="false" customHeight="false" outlineLevel="0" collapsed="false">
      <c r="A70" s="4" t="s">
        <v>234</v>
      </c>
      <c r="B70" s="22" t="n">
        <f aca="false">IF(Estimate!B14=0,0,Estimate!B66/Estimate!B14)</f>
        <v>0.0366292610246038</v>
      </c>
      <c r="F70" s="11" t="s">
        <v>235</v>
      </c>
    </row>
    <row r="71" customFormat="false" ht="15" hidden="false" customHeight="false" outlineLevel="0" collapsed="false">
      <c r="A71" s="4" t="s">
        <v>236</v>
      </c>
      <c r="B71" s="22" t="n">
        <f aca="false">IF(Estimate!B17&lt;=0,0,Estimate!B66/Estimate!B17)</f>
        <v>0.156661623168496</v>
      </c>
      <c r="F71" s="11" t="s">
        <v>237</v>
      </c>
    </row>
    <row r="72" customFormat="false" ht="15" hidden="false" customHeight="false" outlineLevel="0" collapsed="false">
      <c r="A72" s="4" t="s">
        <v>238</v>
      </c>
      <c r="B72" s="29" t="n">
        <f aca="false">IF(Inputs!B18=0,0,Estimate!B66/Inputs!B18)</f>
        <v>0.0882432197410909</v>
      </c>
    </row>
    <row r="73" customFormat="false" ht="15" hidden="false" customHeight="false" outlineLevel="0" collapsed="false">
      <c r="A73" s="4" t="s">
        <v>239</v>
      </c>
      <c r="B73" s="22" t="n">
        <f aca="false">IF(Estimate!B17&lt;=0,0,Estimate!B58/Estimate!B17)</f>
        <v>0.174068470187218</v>
      </c>
    </row>
    <row r="74" customFormat="false" ht="15" hidden="false" customHeight="false" outlineLevel="0" collapsed="false">
      <c r="A74" s="9" t="s">
        <v>240</v>
      </c>
      <c r="B74" s="9" t="str">
        <f aca="false">IF(Estimate!B58-Inputs!B9&lt;'Rates &amp; Sources'!B22,"2026 tax less withholding is under $1,000 — no estimated payments are required. IRC §6654(e)(1).","Estimated payments are required.")</f>
        <v>Estimated payments are required.</v>
      </c>
    </row>
    <row r="76" customFormat="false" ht="15" hidden="false" customHeight="false" outlineLevel="0" collapsed="false">
      <c r="A76" s="3" t="s">
        <v>241</v>
      </c>
    </row>
    <row r="77" customFormat="false" ht="15" hidden="false" customHeight="false" outlineLevel="0" collapsed="false">
      <c r="A77" s="9" t="s">
        <v>242</v>
      </c>
    </row>
    <row r="78" customFormat="false" ht="15" hidden="false" customHeight="false" outlineLevel="0" collapsed="false">
      <c r="A78" s="9" t="s">
        <v>243</v>
      </c>
    </row>
    <row r="79" customFormat="false" ht="15" hidden="false" customHeight="false" outlineLevel="0" collapsed="false">
      <c r="A79" s="4" t="s">
        <v>244</v>
      </c>
      <c r="B79" s="42" t="n">
        <f aca="false">MAX(0,Estimate!B17)*0.25</f>
        <v>15490</v>
      </c>
    </row>
    <row r="80" customFormat="false" ht="15" hidden="false" customHeight="false" outlineLevel="0" collapsed="false">
      <c r="A80" s="4" t="s">
        <v>245</v>
      </c>
      <c r="B80" s="42" t="n">
        <f aca="false">MAX(0,Estimate!B17)*0.3</f>
        <v>18588</v>
      </c>
    </row>
    <row r="81" customFormat="false" ht="15" hidden="false" customHeight="false" outlineLevel="0" collapsed="false">
      <c r="A81" s="38" t="s">
        <v>246</v>
      </c>
      <c r="B81" s="44" t="n">
        <f aca="false">Estimate!B66</f>
        <v>9706.75417152</v>
      </c>
    </row>
    <row r="82" customFormat="false" ht="15" hidden="false" customHeight="false" outlineLevel="0" collapsed="false">
      <c r="A82" s="9" t="s">
        <v>247</v>
      </c>
      <c r="B82" s="9" t="str">
        <f aca="false">IF(Estimate!B17&lt;=0,"No net profit projected — the rule of thumb does not apply.",IF(Estimate!B79&gt;Estimate!B66,"The 25% rule over-reserves for this client by "&amp;TEXT(Estimate!B79-Estimate!B66,"$#,##0")&amp;" — cash that need not have left the business.","The 25% rule under-reserves for this client by "&amp;TEXT(Estimate!B66-Estimate!B79,"$#,##0")&amp;" — the driver would be short at filing."))</f>
        <v>The 25% rule over-reserves for this client by $5,783 — cash that need not have left the business.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62"/>
  </cols>
  <sheetData>
    <row r="1" customFormat="false" ht="17.35" hidden="false" customHeight="false" outlineLevel="0" collapsed="false">
      <c r="A1" s="8" t="s">
        <v>248</v>
      </c>
    </row>
    <row r="2" customFormat="false" ht="15" hidden="false" customHeight="false" outlineLevel="0" collapsed="false">
      <c r="A2" s="9" t="s">
        <v>249</v>
      </c>
    </row>
    <row r="4" customFormat="false" ht="15" hidden="false" customHeight="false" outlineLevel="0" collapsed="false">
      <c r="A4" s="3" t="s">
        <v>250</v>
      </c>
    </row>
    <row r="5" customFormat="false" ht="21.75" hidden="false" customHeight="true" outlineLevel="0" collapsed="false">
      <c r="A5" s="14" t="s">
        <v>251</v>
      </c>
      <c r="B5" s="14" t="s">
        <v>252</v>
      </c>
      <c r="C5" s="14" t="s">
        <v>253</v>
      </c>
      <c r="D5" s="14" t="s">
        <v>254</v>
      </c>
      <c r="E5" s="14" t="s">
        <v>255</v>
      </c>
      <c r="F5" s="14" t="s">
        <v>75</v>
      </c>
    </row>
    <row r="6" customFormat="false" ht="15" hidden="false" customHeight="false" outlineLevel="0" collapsed="false">
      <c r="A6" s="49" t="s">
        <v>256</v>
      </c>
      <c r="B6" s="25" t="s">
        <v>257</v>
      </c>
      <c r="C6" s="25" t="s">
        <v>258</v>
      </c>
      <c r="D6" s="46" t="n">
        <f aca="false">Estimate!$B$67</f>
        <v>2426.68854288</v>
      </c>
      <c r="E6" s="50"/>
      <c r="F6" s="11" t="s">
        <v>259</v>
      </c>
    </row>
    <row r="7" customFormat="false" ht="15" hidden="false" customHeight="false" outlineLevel="0" collapsed="false">
      <c r="A7" s="51" t="s">
        <v>260</v>
      </c>
      <c r="B7" s="4" t="s">
        <v>261</v>
      </c>
      <c r="C7" s="4" t="s">
        <v>262</v>
      </c>
      <c r="D7" s="42" t="n">
        <f aca="false">Estimate!$B$67</f>
        <v>2426.68854288</v>
      </c>
      <c r="E7" s="50"/>
      <c r="F7" s="11" t="s">
        <v>263</v>
      </c>
    </row>
    <row r="8" customFormat="false" ht="15" hidden="false" customHeight="false" outlineLevel="0" collapsed="false">
      <c r="A8" s="49" t="s">
        <v>264</v>
      </c>
      <c r="B8" s="25" t="s">
        <v>265</v>
      </c>
      <c r="C8" s="25" t="s">
        <v>266</v>
      </c>
      <c r="D8" s="46" t="n">
        <f aca="false">Estimate!$B$67</f>
        <v>2426.68854288</v>
      </c>
      <c r="E8" s="50"/>
      <c r="F8" s="11"/>
    </row>
    <row r="9" customFormat="false" ht="15" hidden="false" customHeight="false" outlineLevel="0" collapsed="false">
      <c r="A9" s="51" t="s">
        <v>267</v>
      </c>
      <c r="B9" s="4" t="s">
        <v>268</v>
      </c>
      <c r="C9" s="4" t="s">
        <v>269</v>
      </c>
      <c r="D9" s="42" t="n">
        <f aca="false">Estimate!$B$67</f>
        <v>2426.68854288</v>
      </c>
      <c r="E9" s="50"/>
      <c r="F9" s="11" t="s">
        <v>270</v>
      </c>
    </row>
    <row r="10" customFormat="false" ht="15" hidden="false" customHeight="false" outlineLevel="0" collapsed="false">
      <c r="A10" s="34"/>
      <c r="B10" s="34" t="s">
        <v>271</v>
      </c>
      <c r="C10" s="35"/>
      <c r="D10" s="36" t="n">
        <f aca="false">SUM(D6:D9)</f>
        <v>9706.75417152</v>
      </c>
    </row>
    <row r="12" customFormat="false" ht="15" hidden="false" customHeight="false" outlineLevel="0" collapsed="false">
      <c r="A12" s="9" t="s">
        <v>272</v>
      </c>
    </row>
    <row r="15" customFormat="false" ht="15" hidden="false" customHeight="false" outlineLevel="0" collapsed="false">
      <c r="A15" s="3" t="s">
        <v>273</v>
      </c>
    </row>
    <row r="16" customFormat="false" ht="15" hidden="false" customHeight="false" outlineLevel="0" collapsed="false">
      <c r="A16" s="14"/>
      <c r="B16" s="14" t="s">
        <v>274</v>
      </c>
      <c r="C16" s="14" t="s">
        <v>275</v>
      </c>
      <c r="D16" s="14"/>
      <c r="E16" s="14" t="s">
        <v>276</v>
      </c>
      <c r="F16" s="14" t="s">
        <v>75</v>
      </c>
    </row>
    <row r="17" customFormat="false" ht="15" hidden="false" customHeight="false" outlineLevel="0" collapsed="false">
      <c r="A17" s="52"/>
      <c r="B17" s="25" t="s">
        <v>277</v>
      </c>
      <c r="C17" s="25" t="s">
        <v>278</v>
      </c>
      <c r="D17" s="52"/>
      <c r="E17" s="50"/>
      <c r="F17" s="11" t="s">
        <v>279</v>
      </c>
    </row>
    <row r="18" customFormat="false" ht="15" hidden="false" customHeight="false" outlineLevel="0" collapsed="false">
      <c r="B18" s="4" t="s">
        <v>280</v>
      </c>
      <c r="C18" s="4" t="s">
        <v>281</v>
      </c>
      <c r="E18" s="50"/>
      <c r="F18" s="11"/>
    </row>
    <row r="19" customFormat="false" ht="15" hidden="false" customHeight="false" outlineLevel="0" collapsed="false">
      <c r="A19" s="52"/>
      <c r="B19" s="25" t="s">
        <v>282</v>
      </c>
      <c r="C19" s="25" t="s">
        <v>283</v>
      </c>
      <c r="D19" s="52"/>
      <c r="E19" s="50"/>
      <c r="F19" s="11" t="s">
        <v>284</v>
      </c>
    </row>
    <row r="20" customFormat="false" ht="15" hidden="false" customHeight="false" outlineLevel="0" collapsed="false">
      <c r="B20" s="4" t="s">
        <v>285</v>
      </c>
      <c r="C20" s="4" t="s">
        <v>286</v>
      </c>
      <c r="E20" s="50"/>
      <c r="F20" s="11" t="s">
        <v>287</v>
      </c>
    </row>
    <row r="21" customFormat="false" ht="15" hidden="false" customHeight="false" outlineLevel="0" collapsed="false">
      <c r="A21" s="52"/>
      <c r="B21" s="25" t="s">
        <v>288</v>
      </c>
      <c r="C21" s="25" t="s">
        <v>289</v>
      </c>
      <c r="D21" s="52"/>
      <c r="E21" s="50"/>
      <c r="F21" s="11" t="s">
        <v>290</v>
      </c>
    </row>
    <row r="22" customFormat="false" ht="15" hidden="false" customHeight="false" outlineLevel="0" collapsed="false">
      <c r="B22" s="4" t="s">
        <v>291</v>
      </c>
      <c r="C22" s="4" t="s">
        <v>286</v>
      </c>
      <c r="E22" s="50"/>
      <c r="F22" s="11" t="s">
        <v>292</v>
      </c>
    </row>
    <row r="23" customFormat="false" ht="15" hidden="false" customHeight="false" outlineLevel="0" collapsed="false">
      <c r="A23" s="52"/>
      <c r="B23" s="25" t="s">
        <v>293</v>
      </c>
      <c r="C23" s="25" t="s">
        <v>294</v>
      </c>
      <c r="D23" s="52"/>
      <c r="E23" s="50"/>
      <c r="F23" s="11"/>
    </row>
    <row r="24" customFormat="false" ht="15" hidden="false" customHeight="false" outlineLevel="0" collapsed="false">
      <c r="B24" s="4" t="s">
        <v>295</v>
      </c>
      <c r="C24" s="4" t="s">
        <v>296</v>
      </c>
      <c r="E24" s="50"/>
      <c r="F24" s="11" t="s">
        <v>297</v>
      </c>
    </row>
    <row r="27" customFormat="false" ht="15" hidden="false" customHeight="false" outlineLevel="0" collapsed="false">
      <c r="A27" s="9" t="s">
        <v>298</v>
      </c>
    </row>
    <row r="28" customFormat="false" ht="15" hidden="false" customHeight="false" outlineLevel="0" collapsed="false">
      <c r="A28" s="9" t="s">
        <v>299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2026-08-25T05:30:41Z</dcterms:created>
  <dc:creator>openpyxl</dc:creator>
  <dc:description/>
  <dc:language>en-US</dc:language>
  <cp:lastModifiedBy/>
  <dcterms:modified xsi:type="dcterms:W3CDTF">2026-08-25T05:30:41Z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